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  <sheet name="9. sz. stabilitási tv " sheetId="74" r:id="rId10"/>
    <sheet name="10. sz. tábla" sheetId="72" r:id="rId11"/>
    <sheet name="11. tábla" sheetId="71" r:id="rId12"/>
    <sheet name="12. sz. EU projektek" sheetId="73" r:id="rId13"/>
    <sheet name="13.tábla" sheetId="76" r:id="rId14"/>
    <sheet name="14. tábla" sheetId="67" r:id="rId15"/>
    <sheet name="Munka1" sheetId="83" r:id="rId16"/>
  </sheets>
  <externalReferences>
    <externalReference r:id="rId17"/>
  </externalReferences>
  <definedNames>
    <definedName name="_xlnm.Print_Area" localSheetId="0">'1.sz.tábla'!$A$1:$E$40</definedName>
    <definedName name="_xlnm.Print_Area" localSheetId="10">'10. sz. tábla'!$A$1:$E$31</definedName>
    <definedName name="_xlnm.Print_Area" localSheetId="11">'11. tábla'!$A$1:$L$29</definedName>
    <definedName name="_xlnm.Print_Area" localSheetId="12">'12. sz. EU projektek'!$A$1:$G$60</definedName>
    <definedName name="_xlnm.Print_Area" localSheetId="1">'2.sz.tábla'!$A$1:$E$97</definedName>
    <definedName name="_xlnm.Print_Area" localSheetId="2">'2a. tábla'!$A$1:$H$72</definedName>
    <definedName name="_xlnm.Print_Area" localSheetId="3">'3.tábla'!$A$1:$E$50</definedName>
    <definedName name="_xlnm.Print_Area" localSheetId="4">'4. sz. tábla'!$A$1:$E$29</definedName>
    <definedName name="_xlnm.Print_Area" localSheetId="5">'5.sz.tábla '!$A$1:$E$51</definedName>
    <definedName name="_xlnm.Print_Area" localSheetId="6">'6. sz. tábla '!$A$1:$J$61</definedName>
    <definedName name="_xlnm.Print_Area" localSheetId="7">'7. sz. tábla'!$A$2:$J$91</definedName>
    <definedName name="_xlnm.Print_Area" localSheetId="8">'8. sz. tábla '!$A$1:$N$49</definedName>
    <definedName name="_xlnm.Print_Area" localSheetId="9">'9. sz. stabilitási tv '!$A$1:$G$33</definedName>
    <definedName name="onev">[1]kod!$BT$34:$BT$3186</definedName>
  </definedNames>
  <calcPr calcId="152511"/>
</workbook>
</file>

<file path=xl/calcChain.xml><?xml version="1.0" encoding="utf-8"?>
<calcChain xmlns="http://schemas.openxmlformats.org/spreadsheetml/2006/main">
  <c r="E30" i="70" l="1"/>
  <c r="C30" i="70" l="1"/>
  <c r="D30" i="70" s="1"/>
  <c r="G32" i="70"/>
  <c r="I43" i="62"/>
  <c r="G43" i="62"/>
  <c r="C60" i="51"/>
  <c r="D60" i="51"/>
  <c r="E60" i="51"/>
  <c r="D24" i="51"/>
  <c r="D21" i="51" s="1"/>
  <c r="D59" i="51" s="1"/>
  <c r="D58" i="51" s="1"/>
  <c r="C57" i="51"/>
  <c r="D57" i="51"/>
  <c r="E57" i="51"/>
  <c r="I14" i="51"/>
  <c r="I12" i="51"/>
  <c r="I13" i="62" s="1"/>
  <c r="H30" i="70"/>
  <c r="D11" i="41"/>
  <c r="E11" i="41" s="1"/>
  <c r="F68" i="82"/>
  <c r="H9" i="82"/>
  <c r="H11" i="82"/>
  <c r="H12" i="82"/>
  <c r="H13" i="82"/>
  <c r="H14" i="82"/>
  <c r="H15" i="82"/>
  <c r="H16" i="82"/>
  <c r="H17" i="82"/>
  <c r="H18" i="82"/>
  <c r="H20" i="82"/>
  <c r="H21" i="82"/>
  <c r="H23" i="82"/>
  <c r="H24" i="82"/>
  <c r="H26" i="82"/>
  <c r="H27" i="82"/>
  <c r="H28" i="82"/>
  <c r="H29" i="82"/>
  <c r="H30" i="82"/>
  <c r="H31" i="82"/>
  <c r="H32" i="82"/>
  <c r="H33" i="82"/>
  <c r="H34" i="82"/>
  <c r="H37" i="82"/>
  <c r="H38" i="82"/>
  <c r="H40" i="82"/>
  <c r="H41" i="82"/>
  <c r="H42" i="82"/>
  <c r="H43" i="82"/>
  <c r="H44" i="82"/>
  <c r="H45" i="82"/>
  <c r="H46" i="82"/>
  <c r="H47" i="82"/>
  <c r="H48" i="82"/>
  <c r="H49" i="82"/>
  <c r="H50" i="82"/>
  <c r="H51" i="82"/>
  <c r="H52" i="82"/>
  <c r="H53" i="82"/>
  <c r="H54" i="82"/>
  <c r="H55" i="82"/>
  <c r="H57" i="82"/>
  <c r="H58" i="82"/>
  <c r="H59" i="82"/>
  <c r="H60" i="82"/>
  <c r="H61" i="82"/>
  <c r="H63" i="82"/>
  <c r="H64" i="82"/>
  <c r="H65" i="82"/>
  <c r="H67" i="82"/>
  <c r="H70" i="82"/>
  <c r="E8" i="82"/>
  <c r="G10" i="82"/>
  <c r="F8" i="82"/>
  <c r="F7" i="82" s="1"/>
  <c r="F6" i="82" s="1"/>
  <c r="F5" i="82" s="1"/>
  <c r="C7" i="41" s="1"/>
  <c r="F10" i="82"/>
  <c r="D5" i="49"/>
  <c r="D32" i="40" s="1"/>
  <c r="D28" i="42"/>
  <c r="C13" i="42"/>
  <c r="E13" i="42" s="1"/>
  <c r="D10" i="67" s="1"/>
  <c r="E14" i="49"/>
  <c r="E13" i="49"/>
  <c r="E35" i="42"/>
  <c r="E31" i="42"/>
  <c r="D26" i="42"/>
  <c r="D25" i="42"/>
  <c r="D24" i="42"/>
  <c r="E16" i="42"/>
  <c r="D12" i="42"/>
  <c r="C12" i="42"/>
  <c r="C10" i="51" s="1"/>
  <c r="C11" i="62" s="1"/>
  <c r="D8" i="42"/>
  <c r="E35" i="41"/>
  <c r="E36" i="41"/>
  <c r="E37" i="41"/>
  <c r="E39" i="41"/>
  <c r="E40" i="41"/>
  <c r="E41" i="41"/>
  <c r="E42" i="41"/>
  <c r="E43" i="41"/>
  <c r="E44" i="41"/>
  <c r="E45" i="41"/>
  <c r="E46" i="41"/>
  <c r="D18" i="41"/>
  <c r="E18" i="41" s="1"/>
  <c r="E47" i="40"/>
  <c r="B37" i="70"/>
  <c r="D40" i="40"/>
  <c r="E40" i="40" s="1"/>
  <c r="E48" i="40" s="1"/>
  <c r="J10" i="51" s="1"/>
  <c r="J11" i="62" s="1"/>
  <c r="C19" i="41"/>
  <c r="E19" i="41" s="1"/>
  <c r="E29" i="40"/>
  <c r="E20" i="41"/>
  <c r="G69" i="82"/>
  <c r="H69" i="82" s="1"/>
  <c r="D27" i="40"/>
  <c r="E27" i="40" s="1"/>
  <c r="D26" i="40"/>
  <c r="E26" i="40" s="1"/>
  <c r="D24" i="40"/>
  <c r="E24" i="40" s="1"/>
  <c r="D23" i="40"/>
  <c r="E23" i="40" s="1"/>
  <c r="D20" i="40"/>
  <c r="E20" i="40" s="1"/>
  <c r="D19" i="40"/>
  <c r="E19" i="40" s="1"/>
  <c r="D17" i="40"/>
  <c r="E17" i="40" s="1"/>
  <c r="D16" i="40"/>
  <c r="E16" i="40" s="1"/>
  <c r="D15" i="40"/>
  <c r="E15" i="40" s="1"/>
  <c r="D14" i="40"/>
  <c r="F66" i="82"/>
  <c r="F62" i="82"/>
  <c r="C10" i="41"/>
  <c r="F56" i="82"/>
  <c r="F39" i="82"/>
  <c r="F36" i="82"/>
  <c r="F25" i="82"/>
  <c r="H25" i="82" s="1"/>
  <c r="F22" i="82"/>
  <c r="F19" i="82"/>
  <c r="C12" i="41"/>
  <c r="E13" i="40"/>
  <c r="E18" i="40"/>
  <c r="D11" i="40"/>
  <c r="E11" i="40" s="1"/>
  <c r="D82" i="41"/>
  <c r="D72" i="41"/>
  <c r="D60" i="41"/>
  <c r="D11" i="42" s="1"/>
  <c r="C11" i="42"/>
  <c r="D47" i="41"/>
  <c r="D10" i="42" s="1"/>
  <c r="D38" i="41"/>
  <c r="D34" i="41"/>
  <c r="D28" i="40"/>
  <c r="E28" i="40" s="1"/>
  <c r="E34" i="40"/>
  <c r="E7" i="49"/>
  <c r="E11" i="49"/>
  <c r="C16" i="49"/>
  <c r="B15" i="49"/>
  <c r="C15" i="49"/>
  <c r="D40" i="70"/>
  <c r="E40" i="70" s="1"/>
  <c r="B18" i="70"/>
  <c r="B29" i="42" s="1"/>
  <c r="E17" i="70"/>
  <c r="D16" i="70"/>
  <c r="D18" i="70" s="1"/>
  <c r="D29" i="42" s="1"/>
  <c r="E36" i="70"/>
  <c r="E22" i="70"/>
  <c r="E23" i="70"/>
  <c r="E24" i="70"/>
  <c r="E25" i="70"/>
  <c r="E26" i="70"/>
  <c r="E27" i="70"/>
  <c r="E28" i="70"/>
  <c r="E29" i="70"/>
  <c r="E21" i="70"/>
  <c r="C6" i="49"/>
  <c r="E8" i="41"/>
  <c r="E6" i="70"/>
  <c r="E7" i="70"/>
  <c r="E9" i="70"/>
  <c r="E10" i="70"/>
  <c r="E15" i="70"/>
  <c r="E11" i="70"/>
  <c r="E13" i="70"/>
  <c r="E12" i="70"/>
  <c r="C78" i="62"/>
  <c r="C80" i="62"/>
  <c r="E78" i="62"/>
  <c r="E80" i="62" s="1"/>
  <c r="C86" i="62"/>
  <c r="C89" i="62" s="1"/>
  <c r="E86" i="62"/>
  <c r="E89" i="62" s="1"/>
  <c r="C63" i="62"/>
  <c r="E63" i="62"/>
  <c r="H59" i="62"/>
  <c r="H62" i="62" s="1"/>
  <c r="J59" i="62"/>
  <c r="J62" i="62"/>
  <c r="H78" i="62"/>
  <c r="H80" i="62" s="1"/>
  <c r="J78" i="62"/>
  <c r="J80" i="62" s="1"/>
  <c r="H89" i="62"/>
  <c r="J89" i="62"/>
  <c r="C22" i="62"/>
  <c r="C23" i="62"/>
  <c r="C24" i="62"/>
  <c r="E24" i="62"/>
  <c r="E23" i="62"/>
  <c r="E22" i="62"/>
  <c r="E29" i="62"/>
  <c r="E31" i="62" s="1"/>
  <c r="H14" i="62"/>
  <c r="H16" i="62"/>
  <c r="J16" i="62"/>
  <c r="H14" i="51"/>
  <c r="I15" i="62" s="1"/>
  <c r="J14" i="51"/>
  <c r="J15" i="62" s="1"/>
  <c r="H12" i="51"/>
  <c r="H13" i="62" s="1"/>
  <c r="J12" i="51"/>
  <c r="J13" i="62" s="1"/>
  <c r="C25" i="40"/>
  <c r="D25" i="40" s="1"/>
  <c r="E25" i="40" s="1"/>
  <c r="C25" i="42"/>
  <c r="C24" i="42"/>
  <c r="B24" i="42"/>
  <c r="E24" i="42"/>
  <c r="B26" i="42"/>
  <c r="B25" i="42"/>
  <c r="C26" i="42"/>
  <c r="C8" i="40"/>
  <c r="B48" i="70"/>
  <c r="D30" i="67"/>
  <c r="D28" i="67" s="1"/>
  <c r="D31" i="67" s="1"/>
  <c r="D35" i="67" s="1"/>
  <c r="E12" i="41"/>
  <c r="G66" i="82"/>
  <c r="H66" i="82" s="1"/>
  <c r="B38" i="42"/>
  <c r="G41" i="51"/>
  <c r="G57" i="51" s="1"/>
  <c r="B34" i="42"/>
  <c r="C72" i="41"/>
  <c r="B34" i="41"/>
  <c r="B79" i="41"/>
  <c r="C79" i="41" s="1"/>
  <c r="D79" i="41" s="1"/>
  <c r="C60" i="41"/>
  <c r="C21" i="41"/>
  <c r="C47" i="41"/>
  <c r="C10" i="42" s="1"/>
  <c r="C9" i="51" s="1"/>
  <c r="C10" i="62" s="1"/>
  <c r="C38" i="41"/>
  <c r="C34" i="41"/>
  <c r="B9" i="40"/>
  <c r="C48" i="40"/>
  <c r="H10" i="51" s="1"/>
  <c r="H11" i="62" s="1"/>
  <c r="C39" i="70"/>
  <c r="H36" i="51" s="1"/>
  <c r="H34" i="51" s="1"/>
  <c r="C92" i="41"/>
  <c r="C25" i="51" s="1"/>
  <c r="E92" i="41"/>
  <c r="E25" i="51" s="1"/>
  <c r="C80" i="41"/>
  <c r="C20" i="51" s="1"/>
  <c r="C19" i="51"/>
  <c r="C56" i="51" s="1"/>
  <c r="C55" i="51" s="1"/>
  <c r="C14" i="70"/>
  <c r="E14" i="70"/>
  <c r="C27" i="49"/>
  <c r="E27" i="49" s="1"/>
  <c r="G62" i="82"/>
  <c r="H62" i="82" s="1"/>
  <c r="G56" i="82"/>
  <c r="H56" i="82" s="1"/>
  <c r="G39" i="82"/>
  <c r="G36" i="82"/>
  <c r="H36" i="82"/>
  <c r="G25" i="82"/>
  <c r="G22" i="82"/>
  <c r="H22" i="82" s="1"/>
  <c r="G19" i="82"/>
  <c r="H19" i="82"/>
  <c r="E10" i="82"/>
  <c r="C93" i="41"/>
  <c r="C24" i="51" s="1"/>
  <c r="C21" i="51" s="1"/>
  <c r="C59" i="51" s="1"/>
  <c r="C58" i="51" s="1"/>
  <c r="C47" i="70"/>
  <c r="C22" i="40"/>
  <c r="D22" i="40" s="1"/>
  <c r="E22" i="40" s="1"/>
  <c r="C21" i="40"/>
  <c r="C12" i="40"/>
  <c r="D12" i="40" s="1"/>
  <c r="E12" i="40" s="1"/>
  <c r="C25" i="21"/>
  <c r="D25" i="21"/>
  <c r="E25" i="21"/>
  <c r="F25" i="21"/>
  <c r="G25" i="21"/>
  <c r="H25" i="21"/>
  <c r="I25" i="21"/>
  <c r="J25" i="21"/>
  <c r="K25" i="21"/>
  <c r="L25" i="21"/>
  <c r="M25" i="21"/>
  <c r="B25" i="21"/>
  <c r="N25" i="21"/>
  <c r="C22" i="21"/>
  <c r="D22" i="21"/>
  <c r="E22" i="21"/>
  <c r="F22" i="21"/>
  <c r="G22" i="21"/>
  <c r="H22" i="21"/>
  <c r="I22" i="21"/>
  <c r="J22" i="21"/>
  <c r="K22" i="21"/>
  <c r="L22" i="21"/>
  <c r="M22" i="21"/>
  <c r="B22" i="21"/>
  <c r="B30" i="21"/>
  <c r="N30" i="21"/>
  <c r="D17" i="21"/>
  <c r="E29" i="67"/>
  <c r="E28" i="67" s="1"/>
  <c r="D29" i="67"/>
  <c r="C29" i="67"/>
  <c r="C20" i="67"/>
  <c r="D20" i="67"/>
  <c r="D18" i="67" s="1"/>
  <c r="E20" i="67"/>
  <c r="B20" i="67"/>
  <c r="B13" i="67"/>
  <c r="B17" i="21"/>
  <c r="D24" i="21"/>
  <c r="C34" i="21"/>
  <c r="D34" i="21"/>
  <c r="B34" i="21"/>
  <c r="C23" i="21"/>
  <c r="D23" i="21"/>
  <c r="E23" i="21"/>
  <c r="F23" i="21"/>
  <c r="G23" i="21"/>
  <c r="H23" i="21"/>
  <c r="I23" i="21"/>
  <c r="J23" i="21"/>
  <c r="K23" i="21"/>
  <c r="L23" i="21"/>
  <c r="M23" i="21"/>
  <c r="B23" i="21"/>
  <c r="C21" i="21"/>
  <c r="D21" i="21"/>
  <c r="E21" i="21"/>
  <c r="F21" i="21"/>
  <c r="G21" i="21"/>
  <c r="H21" i="21"/>
  <c r="H28" i="21" s="1"/>
  <c r="I21" i="21"/>
  <c r="J21" i="21"/>
  <c r="K21" i="21"/>
  <c r="L21" i="21"/>
  <c r="L28" i="21" s="1"/>
  <c r="M21" i="21"/>
  <c r="B21" i="21"/>
  <c r="C20" i="21"/>
  <c r="D20" i="21"/>
  <c r="E20" i="21"/>
  <c r="F20" i="21"/>
  <c r="F28" i="21" s="1"/>
  <c r="G20" i="21"/>
  <c r="H20" i="21"/>
  <c r="I20" i="21"/>
  <c r="I28" i="21" s="1"/>
  <c r="I33" i="21" s="1"/>
  <c r="I35" i="21" s="1"/>
  <c r="J20" i="21"/>
  <c r="K20" i="21"/>
  <c r="L20" i="21"/>
  <c r="M20" i="21"/>
  <c r="B20" i="21"/>
  <c r="C17" i="21"/>
  <c r="K15" i="21"/>
  <c r="C9" i="21"/>
  <c r="D9" i="21"/>
  <c r="E9" i="21"/>
  <c r="F9" i="21"/>
  <c r="G9" i="21"/>
  <c r="H9" i="21"/>
  <c r="I9" i="21"/>
  <c r="J9" i="21"/>
  <c r="K9" i="21"/>
  <c r="L9" i="21"/>
  <c r="M9" i="21"/>
  <c r="B9" i="21"/>
  <c r="C8" i="21"/>
  <c r="C11" i="21" s="1"/>
  <c r="D8" i="21"/>
  <c r="E8" i="21"/>
  <c r="F8" i="21"/>
  <c r="G8" i="21"/>
  <c r="H8" i="21"/>
  <c r="I8" i="21"/>
  <c r="J8" i="21"/>
  <c r="J11" i="21"/>
  <c r="J16" i="21" s="1"/>
  <c r="J19" i="21" s="1"/>
  <c r="K8" i="21"/>
  <c r="L8" i="21"/>
  <c r="M8" i="21"/>
  <c r="B8" i="21"/>
  <c r="C7" i="21"/>
  <c r="D7" i="21"/>
  <c r="D11" i="21" s="1"/>
  <c r="E7" i="21"/>
  <c r="F7" i="21"/>
  <c r="G7" i="21"/>
  <c r="H7" i="21"/>
  <c r="I7" i="21"/>
  <c r="J7" i="21"/>
  <c r="K7" i="21"/>
  <c r="L7" i="21"/>
  <c r="L11" i="21" s="1"/>
  <c r="M7" i="21"/>
  <c r="B7" i="21"/>
  <c r="B20" i="51"/>
  <c r="B19" i="51" s="1"/>
  <c r="B56" i="51"/>
  <c r="B55" i="51" s="1"/>
  <c r="B57" i="51"/>
  <c r="B40" i="40"/>
  <c r="B48" i="40" s="1"/>
  <c r="B22" i="67" s="1"/>
  <c r="B33" i="67"/>
  <c r="B7" i="40"/>
  <c r="F28" i="72"/>
  <c r="D28" i="72" s="1"/>
  <c r="F27" i="72"/>
  <c r="D27" i="72" s="1"/>
  <c r="F26" i="72"/>
  <c r="D26" i="72" s="1"/>
  <c r="F25" i="72"/>
  <c r="D25" i="72" s="1"/>
  <c r="F24" i="72"/>
  <c r="D24" i="72" s="1"/>
  <c r="F23" i="72"/>
  <c r="D23" i="72" s="1"/>
  <c r="F22" i="72"/>
  <c r="D22" i="72" s="1"/>
  <c r="F21" i="72"/>
  <c r="D21" i="72" s="1"/>
  <c r="D20" i="72" s="1"/>
  <c r="D29" i="72"/>
  <c r="C32" i="67"/>
  <c r="C34" i="67"/>
  <c r="D32" i="67"/>
  <c r="D34" i="67"/>
  <c r="E32" i="67"/>
  <c r="E34" i="67"/>
  <c r="C30" i="67"/>
  <c r="C28" i="67"/>
  <c r="E30" i="67"/>
  <c r="C27" i="67"/>
  <c r="D27" i="67"/>
  <c r="E27" i="67"/>
  <c r="E10" i="67"/>
  <c r="E9" i="67"/>
  <c r="E11" i="67" s="1"/>
  <c r="B32" i="67"/>
  <c r="B30" i="67"/>
  <c r="B29" i="67"/>
  <c r="B28" i="67"/>
  <c r="B27" i="67"/>
  <c r="G44" i="62"/>
  <c r="G47" i="62" s="1"/>
  <c r="G49" i="62" s="1"/>
  <c r="G14" i="62"/>
  <c r="B25" i="51"/>
  <c r="E24" i="67"/>
  <c r="D24" i="67"/>
  <c r="C24" i="67"/>
  <c r="E18" i="67"/>
  <c r="C18" i="67"/>
  <c r="E15" i="67"/>
  <c r="D15" i="67"/>
  <c r="C15" i="67"/>
  <c r="B5" i="49"/>
  <c r="B33" i="40"/>
  <c r="O24" i="21"/>
  <c r="E25" i="82"/>
  <c r="B24" i="51"/>
  <c r="B21" i="51" s="1"/>
  <c r="B59" i="51" s="1"/>
  <c r="E32" i="21"/>
  <c r="F32" i="21"/>
  <c r="G32" i="21"/>
  <c r="H32" i="21"/>
  <c r="H33" i="21" s="1"/>
  <c r="H35" i="21" s="1"/>
  <c r="I32" i="21"/>
  <c r="J32" i="21"/>
  <c r="K32" i="21"/>
  <c r="L32" i="21"/>
  <c r="M32" i="21"/>
  <c r="O26" i="21"/>
  <c r="O21" i="21"/>
  <c r="N36" i="21"/>
  <c r="D32" i="21"/>
  <c r="C32" i="21"/>
  <c r="N32" i="21" s="1"/>
  <c r="B32" i="21"/>
  <c r="N31" i="21"/>
  <c r="N29" i="21"/>
  <c r="N27" i="21"/>
  <c r="N26" i="21"/>
  <c r="N24" i="21"/>
  <c r="N18" i="21"/>
  <c r="N17" i="21"/>
  <c r="M15" i="21"/>
  <c r="L15" i="21"/>
  <c r="J15" i="21"/>
  <c r="I15" i="21"/>
  <c r="H15" i="21"/>
  <c r="G15" i="21"/>
  <c r="F15" i="21"/>
  <c r="E15" i="21"/>
  <c r="D15" i="21"/>
  <c r="C15" i="21"/>
  <c r="B15" i="21"/>
  <c r="N14" i="21"/>
  <c r="N13" i="21"/>
  <c r="N12" i="21"/>
  <c r="B11" i="21"/>
  <c r="N10" i="21"/>
  <c r="G16" i="62"/>
  <c r="G12" i="51"/>
  <c r="G13" i="62" s="1"/>
  <c r="G8" i="51"/>
  <c r="G9" i="62" s="1"/>
  <c r="G14" i="51"/>
  <c r="G15" i="62" s="1"/>
  <c r="E62" i="82"/>
  <c r="B10" i="41" s="1"/>
  <c r="E56" i="82"/>
  <c r="E53" i="82"/>
  <c r="E51" i="82"/>
  <c r="E50" i="82"/>
  <c r="E49" i="82"/>
  <c r="E45" i="82"/>
  <c r="E46" i="82"/>
  <c r="E47" i="82"/>
  <c r="E36" i="82"/>
  <c r="E22" i="82"/>
  <c r="E19" i="82"/>
  <c r="B43" i="51"/>
  <c r="B60" i="51" s="1"/>
  <c r="G34" i="51"/>
  <c r="B72" i="41"/>
  <c r="B13" i="42"/>
  <c r="B66" i="41"/>
  <c r="B12" i="42" s="1"/>
  <c r="B9" i="67" s="1"/>
  <c r="B60" i="41"/>
  <c r="O13" i="21" s="1"/>
  <c r="B47" i="41"/>
  <c r="O8" i="21"/>
  <c r="B10" i="42"/>
  <c r="B7" i="67" s="1"/>
  <c r="B42" i="41"/>
  <c r="B39" i="41"/>
  <c r="E8" i="74"/>
  <c r="E14" i="74" s="1"/>
  <c r="E15" i="74" s="1"/>
  <c r="B21" i="41"/>
  <c r="B8" i="42" s="1"/>
  <c r="B82" i="41"/>
  <c r="O18" i="21"/>
  <c r="E39" i="76"/>
  <c r="F39" i="76"/>
  <c r="F25" i="74"/>
  <c r="E25" i="74"/>
  <c r="D25" i="74"/>
  <c r="C25" i="74"/>
  <c r="F14" i="74"/>
  <c r="F15" i="74"/>
  <c r="D14" i="74"/>
  <c r="D15" i="74" s="1"/>
  <c r="E60" i="73"/>
  <c r="D60" i="73"/>
  <c r="C60" i="73"/>
  <c r="B60" i="73"/>
  <c r="F58" i="73"/>
  <c r="F57" i="73"/>
  <c r="F56" i="73"/>
  <c r="F55" i="73"/>
  <c r="F54" i="73"/>
  <c r="F60" i="73" s="1"/>
  <c r="E51" i="73"/>
  <c r="D51" i="73"/>
  <c r="C51" i="73"/>
  <c r="B51" i="73"/>
  <c r="F50" i="73"/>
  <c r="F49" i="73"/>
  <c r="F48" i="73"/>
  <c r="E41" i="73"/>
  <c r="D41" i="73"/>
  <c r="C41" i="73"/>
  <c r="B41" i="73"/>
  <c r="F40" i="73"/>
  <c r="F39" i="73"/>
  <c r="F38" i="73"/>
  <c r="F37" i="73"/>
  <c r="F36" i="73"/>
  <c r="F35" i="73"/>
  <c r="E32" i="73"/>
  <c r="D32" i="73"/>
  <c r="C32" i="73"/>
  <c r="B32" i="73"/>
  <c r="F32" i="73"/>
  <c r="F31" i="73"/>
  <c r="F30" i="73"/>
  <c r="F29" i="73"/>
  <c r="E22" i="73"/>
  <c r="D22" i="73"/>
  <c r="C22" i="73"/>
  <c r="B22" i="73"/>
  <c r="F21" i="73"/>
  <c r="F20" i="73"/>
  <c r="F19" i="73"/>
  <c r="F18" i="73"/>
  <c r="F17" i="73"/>
  <c r="F16" i="73"/>
  <c r="B13" i="73"/>
  <c r="F12" i="73"/>
  <c r="F11" i="73"/>
  <c r="F10" i="73"/>
  <c r="D30" i="72"/>
  <c r="D31" i="72" s="1"/>
  <c r="E20" i="72"/>
  <c r="E11" i="72"/>
  <c r="E31" i="72" s="1"/>
  <c r="D11" i="72"/>
  <c r="K28" i="71"/>
  <c r="L28" i="71" s="1"/>
  <c r="D26" i="71"/>
  <c r="I26" i="71"/>
  <c r="I29" i="71"/>
  <c r="H26" i="71"/>
  <c r="G26" i="71"/>
  <c r="F26" i="71"/>
  <c r="E26" i="71"/>
  <c r="J24" i="71"/>
  <c r="H24" i="71"/>
  <c r="G24" i="71"/>
  <c r="F24" i="71"/>
  <c r="E24" i="71"/>
  <c r="D24" i="71"/>
  <c r="K24" i="71"/>
  <c r="J22" i="71"/>
  <c r="H22" i="71"/>
  <c r="G22" i="71"/>
  <c r="F22" i="71"/>
  <c r="E22" i="71"/>
  <c r="D22" i="71"/>
  <c r="K22" i="71"/>
  <c r="J20" i="71"/>
  <c r="I20" i="71"/>
  <c r="H20" i="71"/>
  <c r="G20" i="71"/>
  <c r="F20" i="71"/>
  <c r="E20" i="71"/>
  <c r="D20" i="71"/>
  <c r="J17" i="71"/>
  <c r="I17" i="71"/>
  <c r="H17" i="71"/>
  <c r="G17" i="71"/>
  <c r="G14" i="71"/>
  <c r="G29" i="71" s="1"/>
  <c r="F17" i="71"/>
  <c r="F14" i="71"/>
  <c r="F29" i="71" s="1"/>
  <c r="E17" i="71"/>
  <c r="D17" i="71"/>
  <c r="B17" i="42"/>
  <c r="B14" i="67" s="1"/>
  <c r="O17" i="21"/>
  <c r="K20" i="71"/>
  <c r="J26" i="71"/>
  <c r="K17" i="71"/>
  <c r="K14" i="71" s="1"/>
  <c r="L17" i="71"/>
  <c r="L22" i="71"/>
  <c r="L24" i="71"/>
  <c r="K26" i="71"/>
  <c r="L26" i="71"/>
  <c r="H39" i="76"/>
  <c r="G39" i="76"/>
  <c r="L20" i="71"/>
  <c r="G59" i="62"/>
  <c r="G62" i="62"/>
  <c r="G89" i="62"/>
  <c r="B86" i="62"/>
  <c r="B89" i="62" s="1"/>
  <c r="G78" i="62"/>
  <c r="G80" i="62" s="1"/>
  <c r="B78" i="62"/>
  <c r="B80" i="62" s="1"/>
  <c r="B59" i="62"/>
  <c r="B62" i="62" s="1"/>
  <c r="B47" i="62"/>
  <c r="B49" i="62" s="1"/>
  <c r="C8" i="74"/>
  <c r="C14" i="74" s="1"/>
  <c r="C15" i="74" s="1"/>
  <c r="D10" i="41"/>
  <c r="E10" i="41"/>
  <c r="B34" i="67"/>
  <c r="B25" i="67"/>
  <c r="C48" i="70"/>
  <c r="C34" i="42"/>
  <c r="D34" i="42" s="1"/>
  <c r="D33" i="42" s="1"/>
  <c r="B33" i="42"/>
  <c r="D21" i="40"/>
  <c r="E21" i="40" s="1"/>
  <c r="O20" i="21"/>
  <c r="B19" i="67"/>
  <c r="C7" i="40"/>
  <c r="M28" i="21"/>
  <c r="M33" i="21" s="1"/>
  <c r="M35" i="21" s="1"/>
  <c r="E28" i="21"/>
  <c r="E33" i="21" s="1"/>
  <c r="E35" i="21" s="1"/>
  <c r="D39" i="70"/>
  <c r="C16" i="21"/>
  <c r="C19" i="21" s="1"/>
  <c r="F31" i="72"/>
  <c r="C28" i="42"/>
  <c r="E93" i="41"/>
  <c r="E24" i="51" s="1"/>
  <c r="E21" i="51" s="1"/>
  <c r="E59" i="51" s="1"/>
  <c r="E58" i="51" s="1"/>
  <c r="C37" i="70"/>
  <c r="C30" i="42" s="1"/>
  <c r="H33" i="51" s="1"/>
  <c r="H24" i="62" s="1"/>
  <c r="D48" i="40"/>
  <c r="I10" i="51"/>
  <c r="I11" i="62" s="1"/>
  <c r="E28" i="42"/>
  <c r="C10" i="67"/>
  <c r="O14" i="21"/>
  <c r="D33" i="41"/>
  <c r="O12" i="21"/>
  <c r="G10" i="51"/>
  <c r="G11" i="62" s="1"/>
  <c r="F35" i="82"/>
  <c r="G16" i="51"/>
  <c r="G17" i="62" s="1"/>
  <c r="E16" i="70"/>
  <c r="F33" i="21"/>
  <c r="F35" i="21"/>
  <c r="D80" i="41"/>
  <c r="C8" i="42"/>
  <c r="E8" i="42" s="1"/>
  <c r="D5" i="67" s="1"/>
  <c r="E6" i="49"/>
  <c r="E5" i="49" s="1"/>
  <c r="J13" i="51" s="1"/>
  <c r="B9" i="51"/>
  <c r="B10" i="62" s="1"/>
  <c r="C18" i="70"/>
  <c r="O27" i="21"/>
  <c r="H39" i="82"/>
  <c r="D16" i="49"/>
  <c r="I44" i="62" s="1"/>
  <c r="I47" i="62" s="1"/>
  <c r="I49" i="62" s="1"/>
  <c r="H44" i="62"/>
  <c r="C9" i="41"/>
  <c r="C29" i="42"/>
  <c r="H31" i="51" s="1"/>
  <c r="E18" i="70"/>
  <c r="E29" i="42"/>
  <c r="J31" i="51" s="1"/>
  <c r="J22" i="62" s="1"/>
  <c r="D9" i="42"/>
  <c r="I36" i="51"/>
  <c r="I34" i="51" s="1"/>
  <c r="E39" i="70"/>
  <c r="D9" i="51"/>
  <c r="D10" i="62"/>
  <c r="I13" i="51"/>
  <c r="N22" i="21"/>
  <c r="E11" i="42"/>
  <c r="H10" i="82"/>
  <c r="G7" i="51"/>
  <c r="G8" i="62" s="1"/>
  <c r="B38" i="41"/>
  <c r="B33" i="41"/>
  <c r="O9" i="21" s="1"/>
  <c r="E48" i="82"/>
  <c r="E39" i="82"/>
  <c r="E35" i="82" s="1"/>
  <c r="L33" i="21"/>
  <c r="L35" i="21"/>
  <c r="J28" i="21"/>
  <c r="J33" i="21" s="1"/>
  <c r="J35" i="21" s="1"/>
  <c r="D28" i="21"/>
  <c r="D33" i="21" s="1"/>
  <c r="D35" i="21" s="1"/>
  <c r="D8" i="51"/>
  <c r="D9" i="62" s="1"/>
  <c r="B9" i="41" l="1"/>
  <c r="B31" i="51"/>
  <c r="B22" i="62" s="1"/>
  <c r="C5" i="67"/>
  <c r="B5" i="67"/>
  <c r="B63" i="62"/>
  <c r="D94" i="41"/>
  <c r="E79" i="41"/>
  <c r="B32" i="40"/>
  <c r="B35" i="40" s="1"/>
  <c r="B50" i="40" s="1"/>
  <c r="B23" i="42" s="1"/>
  <c r="B22" i="42" s="1"/>
  <c r="O25" i="21"/>
  <c r="C29" i="62"/>
  <c r="C31" i="62" s="1"/>
  <c r="G8" i="82"/>
  <c r="E7" i="82"/>
  <c r="E6" i="82" s="1"/>
  <c r="E5" i="82" s="1"/>
  <c r="B7" i="41" s="1"/>
  <c r="B6" i="41" s="1"/>
  <c r="B5" i="41" s="1"/>
  <c r="B77" i="41" s="1"/>
  <c r="B95" i="41" s="1"/>
  <c r="D37" i="70"/>
  <c r="G30" i="70"/>
  <c r="O15" i="21"/>
  <c r="E10" i="42"/>
  <c r="E9" i="51" s="1"/>
  <c r="E10" i="62" s="1"/>
  <c r="F71" i="82"/>
  <c r="F72" i="82" s="1"/>
  <c r="C42" i="70"/>
  <c r="C51" i="70" s="1"/>
  <c r="E21" i="41"/>
  <c r="C82" i="41"/>
  <c r="C33" i="42"/>
  <c r="H16" i="51" s="1"/>
  <c r="H17" i="62" s="1"/>
  <c r="B18" i="42"/>
  <c r="B19" i="62" s="1"/>
  <c r="K29" i="71"/>
  <c r="B94" i="41"/>
  <c r="G13" i="51"/>
  <c r="B58" i="51"/>
  <c r="B29" i="49"/>
  <c r="G63" i="62"/>
  <c r="E16" i="67"/>
  <c r="M11" i="21"/>
  <c r="M16" i="21" s="1"/>
  <c r="M19" i="21" s="1"/>
  <c r="K11" i="21"/>
  <c r="K16" i="21" s="1"/>
  <c r="K19" i="21" s="1"/>
  <c r="I11" i="21"/>
  <c r="I16" i="21" s="1"/>
  <c r="I19" i="21" s="1"/>
  <c r="G11" i="21"/>
  <c r="E11" i="21"/>
  <c r="E16" i="21" s="1"/>
  <c r="E19" i="21" s="1"/>
  <c r="K28" i="21"/>
  <c r="K33" i="21" s="1"/>
  <c r="K35" i="21" s="1"/>
  <c r="G28" i="21"/>
  <c r="G33" i="21" s="1"/>
  <c r="G35" i="21" s="1"/>
  <c r="C9" i="40"/>
  <c r="H9" i="51" s="1"/>
  <c r="H10" i="62" s="1"/>
  <c r="C38" i="42"/>
  <c r="D47" i="70"/>
  <c r="G35" i="82"/>
  <c r="H31" i="70"/>
  <c r="G20" i="51"/>
  <c r="G19" i="51" s="1"/>
  <c r="G56" i="51" s="1"/>
  <c r="G55" i="51" s="1"/>
  <c r="B39" i="42"/>
  <c r="D10" i="51"/>
  <c r="E12" i="42"/>
  <c r="L14" i="71"/>
  <c r="L29" i="71" s="1"/>
  <c r="D14" i="71"/>
  <c r="D29" i="71" s="1"/>
  <c r="H14" i="71"/>
  <c r="H29" i="71" s="1"/>
  <c r="E14" i="71"/>
  <c r="E29" i="71" s="1"/>
  <c r="J14" i="71"/>
  <c r="J29" i="71" s="1"/>
  <c r="F13" i="73"/>
  <c r="F22" i="73"/>
  <c r="F51" i="73"/>
  <c r="C31" i="67"/>
  <c r="L16" i="21"/>
  <c r="L19" i="21" s="1"/>
  <c r="D16" i="21"/>
  <c r="D19" i="21" s="1"/>
  <c r="F11" i="21"/>
  <c r="F16" i="21" s="1"/>
  <c r="F19" i="21" s="1"/>
  <c r="H11" i="21"/>
  <c r="H16" i="21" s="1"/>
  <c r="H19" i="21" s="1"/>
  <c r="N9" i="21"/>
  <c r="C28" i="21"/>
  <c r="C33" i="21" s="1"/>
  <c r="C35" i="21" s="1"/>
  <c r="N34" i="21"/>
  <c r="B15" i="67"/>
  <c r="E26" i="42"/>
  <c r="E25" i="42"/>
  <c r="E34" i="41"/>
  <c r="E34" i="42"/>
  <c r="E33" i="42"/>
  <c r="J16" i="51" s="1"/>
  <c r="J17" i="62" s="1"/>
  <c r="I16" i="51"/>
  <c r="I17" i="62" s="1"/>
  <c r="B9" i="42"/>
  <c r="C27" i="42"/>
  <c r="I31" i="51"/>
  <c r="H22" i="62"/>
  <c r="H29" i="62" s="1"/>
  <c r="H31" i="62" s="1"/>
  <c r="H39" i="51"/>
  <c r="C6" i="41"/>
  <c r="C5" i="41" s="1"/>
  <c r="C7" i="42" s="1"/>
  <c r="J44" i="62"/>
  <c r="B10" i="67"/>
  <c r="B33" i="51"/>
  <c r="B24" i="62" s="1"/>
  <c r="N15" i="21"/>
  <c r="G16" i="21"/>
  <c r="G19" i="21" s="1"/>
  <c r="N21" i="21"/>
  <c r="E31" i="67"/>
  <c r="E35" i="67" s="1"/>
  <c r="H8" i="51"/>
  <c r="H9" i="62" s="1"/>
  <c r="D8" i="40"/>
  <c r="C33" i="40"/>
  <c r="D15" i="49"/>
  <c r="B42" i="70"/>
  <c r="B51" i="70" s="1"/>
  <c r="B30" i="42"/>
  <c r="B27" i="42" s="1"/>
  <c r="B11" i="42"/>
  <c r="D20" i="51"/>
  <c r="D19" i="51" s="1"/>
  <c r="D56" i="51" s="1"/>
  <c r="D55" i="51" s="1"/>
  <c r="E80" i="41"/>
  <c r="E20" i="51" s="1"/>
  <c r="E19" i="51" s="1"/>
  <c r="E56" i="51" s="1"/>
  <c r="E55" i="51" s="1"/>
  <c r="O23" i="21"/>
  <c r="F41" i="73"/>
  <c r="C35" i="67"/>
  <c r="N8" i="21"/>
  <c r="E38" i="41"/>
  <c r="C33" i="41"/>
  <c r="G31" i="51"/>
  <c r="O29" i="21"/>
  <c r="D17" i="42"/>
  <c r="E14" i="40"/>
  <c r="D9" i="40"/>
  <c r="D7" i="40"/>
  <c r="H7" i="51"/>
  <c r="B16" i="21"/>
  <c r="O11" i="21"/>
  <c r="N7" i="21"/>
  <c r="N23" i="21"/>
  <c r="B10" i="51"/>
  <c r="B11" i="62" s="1"/>
  <c r="C9" i="67"/>
  <c r="G11" i="51"/>
  <c r="B28" i="21"/>
  <c r="N20" i="21"/>
  <c r="N39" i="21" s="1"/>
  <c r="D42" i="70"/>
  <c r="G9" i="51"/>
  <c r="O22" i="21"/>
  <c r="O28" i="21" s="1"/>
  <c r="B21" i="67"/>
  <c r="C5" i="49"/>
  <c r="H43" i="62"/>
  <c r="H47" i="62" s="1"/>
  <c r="H49" i="62" s="1"/>
  <c r="J43" i="62"/>
  <c r="J47" i="62" s="1"/>
  <c r="J49" i="62" s="1"/>
  <c r="G68" i="82"/>
  <c r="H68" i="82" s="1"/>
  <c r="I14" i="62"/>
  <c r="J14" i="62" s="1"/>
  <c r="D9" i="41" l="1"/>
  <c r="E9" i="41" s="1"/>
  <c r="H35" i="82"/>
  <c r="H20" i="51"/>
  <c r="H19" i="51" s="1"/>
  <c r="H56" i="51" s="1"/>
  <c r="H55" i="51" s="1"/>
  <c r="C39" i="42"/>
  <c r="H19" i="62" s="1"/>
  <c r="C17" i="42"/>
  <c r="C18" i="42" s="1"/>
  <c r="C19" i="62" s="1"/>
  <c r="C94" i="41"/>
  <c r="E94" i="41" s="1"/>
  <c r="B23" i="67"/>
  <c r="B18" i="67" s="1"/>
  <c r="N11" i="21"/>
  <c r="E82" i="41"/>
  <c r="E10" i="51"/>
  <c r="E11" i="62" s="1"/>
  <c r="D9" i="67"/>
  <c r="D11" i="67" s="1"/>
  <c r="D16" i="67" s="1"/>
  <c r="G19" i="62"/>
  <c r="O34" i="21"/>
  <c r="D38" i="42"/>
  <c r="D48" i="70"/>
  <c r="E48" i="70" s="1"/>
  <c r="E47" i="70"/>
  <c r="E37" i="70"/>
  <c r="D30" i="42"/>
  <c r="H8" i="82"/>
  <c r="G7" i="82"/>
  <c r="E71" i="82"/>
  <c r="O32" i="21"/>
  <c r="B36" i="42"/>
  <c r="B33" i="21"/>
  <c r="N28" i="21"/>
  <c r="G22" i="62"/>
  <c r="E42" i="70"/>
  <c r="E51" i="70" s="1"/>
  <c r="D51" i="70"/>
  <c r="H8" i="62"/>
  <c r="H18" i="62" s="1"/>
  <c r="C7" i="51"/>
  <c r="B7" i="42"/>
  <c r="O7" i="21"/>
  <c r="H63" i="62"/>
  <c r="E8" i="40"/>
  <c r="J8" i="51" s="1"/>
  <c r="J9" i="62" s="1"/>
  <c r="I8" i="51"/>
  <c r="I9" i="62" s="1"/>
  <c r="I22" i="62"/>
  <c r="C29" i="49"/>
  <c r="C32" i="40"/>
  <c r="H13" i="51"/>
  <c r="I7" i="51"/>
  <c r="E7" i="40"/>
  <c r="D18" i="42"/>
  <c r="E17" i="42"/>
  <c r="C9" i="42"/>
  <c r="C14" i="42" s="1"/>
  <c r="C19" i="42" s="1"/>
  <c r="C77" i="41"/>
  <c r="E33" i="41"/>
  <c r="B8" i="67"/>
  <c r="C8" i="67"/>
  <c r="C11" i="67" s="1"/>
  <c r="C16" i="67" s="1"/>
  <c r="B32" i="51"/>
  <c r="D33" i="40"/>
  <c r="D29" i="49"/>
  <c r="E15" i="49"/>
  <c r="E29" i="49" s="1"/>
  <c r="B8" i="51"/>
  <c r="B9" i="62" s="1"/>
  <c r="B6" i="67"/>
  <c r="E9" i="40"/>
  <c r="J9" i="51" s="1"/>
  <c r="J10" i="62" s="1"/>
  <c r="I9" i="51"/>
  <c r="I10" i="62" s="1"/>
  <c r="H40" i="51"/>
  <c r="H46" i="51"/>
  <c r="H52" i="51"/>
  <c r="J63" i="62"/>
  <c r="B19" i="21"/>
  <c r="N16" i="21"/>
  <c r="G10" i="62"/>
  <c r="G18" i="62" s="1"/>
  <c r="G17" i="51"/>
  <c r="G33" i="51"/>
  <c r="G24" i="62" s="1"/>
  <c r="O30" i="21"/>
  <c r="B26" i="67"/>
  <c r="B24" i="67" s="1"/>
  <c r="H7" i="82" l="1"/>
  <c r="G6" i="82"/>
  <c r="I33" i="51"/>
  <c r="E30" i="42"/>
  <c r="J33" i="51" s="1"/>
  <c r="D27" i="42"/>
  <c r="E27" i="42" s="1"/>
  <c r="I20" i="51"/>
  <c r="I19" i="51" s="1"/>
  <c r="I56" i="51" s="1"/>
  <c r="I55" i="51" s="1"/>
  <c r="D39" i="42"/>
  <c r="E38" i="42"/>
  <c r="J20" i="51" s="1"/>
  <c r="J19" i="51" s="1"/>
  <c r="J56" i="51" s="1"/>
  <c r="J55" i="51" s="1"/>
  <c r="B31" i="67"/>
  <c r="B35" i="67" s="1"/>
  <c r="G20" i="62"/>
  <c r="C95" i="41"/>
  <c r="H20" i="62"/>
  <c r="I8" i="62"/>
  <c r="I18" i="62" s="1"/>
  <c r="G29" i="62"/>
  <c r="G31" i="62" s="1"/>
  <c r="N19" i="21"/>
  <c r="E33" i="40"/>
  <c r="D35" i="40"/>
  <c r="D19" i="62"/>
  <c r="E18" i="42"/>
  <c r="E19" i="62" s="1"/>
  <c r="B14" i="42"/>
  <c r="B7" i="51"/>
  <c r="B4" i="67"/>
  <c r="B11" i="67" s="1"/>
  <c r="B16" i="67" s="1"/>
  <c r="G39" i="51"/>
  <c r="G26" i="51"/>
  <c r="G51" i="51"/>
  <c r="B23" i="62"/>
  <c r="B29" i="62" s="1"/>
  <c r="B31" i="62" s="1"/>
  <c r="B39" i="51"/>
  <c r="B40" i="42"/>
  <c r="O35" i="21" s="1"/>
  <c r="O33" i="21"/>
  <c r="C8" i="51"/>
  <c r="C9" i="62" s="1"/>
  <c r="E9" i="42"/>
  <c r="E8" i="51" s="1"/>
  <c r="E9" i="62" s="1"/>
  <c r="J7" i="51"/>
  <c r="C35" i="40"/>
  <c r="E32" i="40"/>
  <c r="E35" i="40" s="1"/>
  <c r="J11" i="51" s="1"/>
  <c r="C8" i="62"/>
  <c r="C18" i="62" s="1"/>
  <c r="C20" i="62" s="1"/>
  <c r="B35" i="21"/>
  <c r="N33" i="21"/>
  <c r="H90" i="62" l="1"/>
  <c r="H32" i="62"/>
  <c r="J24" i="62"/>
  <c r="J29" i="62" s="1"/>
  <c r="J31" i="62" s="1"/>
  <c r="J39" i="51"/>
  <c r="G5" i="82"/>
  <c r="H6" i="82"/>
  <c r="E39" i="42"/>
  <c r="J19" i="62" s="1"/>
  <c r="I19" i="62"/>
  <c r="I20" i="62" s="1"/>
  <c r="I32" i="62" s="1"/>
  <c r="I24" i="62"/>
  <c r="I29" i="62" s="1"/>
  <c r="I31" i="62" s="1"/>
  <c r="I39" i="51"/>
  <c r="B90" i="62"/>
  <c r="C50" i="40"/>
  <c r="C23" i="42" s="1"/>
  <c r="C22" i="42" s="1"/>
  <c r="C36" i="42" s="1"/>
  <c r="C40" i="42" s="1"/>
  <c r="C42" i="42" s="1"/>
  <c r="H11" i="51"/>
  <c r="H17" i="51" s="1"/>
  <c r="N35" i="21"/>
  <c r="N37" i="21" s="1"/>
  <c r="B37" i="21"/>
  <c r="C6" i="21" s="1"/>
  <c r="C37" i="21" s="1"/>
  <c r="D6" i="21" s="1"/>
  <c r="D37" i="21" s="1"/>
  <c r="E6" i="21" s="1"/>
  <c r="E37" i="21" s="1"/>
  <c r="F6" i="21" s="1"/>
  <c r="F37" i="21" s="1"/>
  <c r="G6" i="21" s="1"/>
  <c r="G37" i="21" s="1"/>
  <c r="H6" i="21" s="1"/>
  <c r="H37" i="21" s="1"/>
  <c r="I6" i="21" s="1"/>
  <c r="I37" i="21" s="1"/>
  <c r="J6" i="21" s="1"/>
  <c r="J37" i="21" s="1"/>
  <c r="K6" i="21" s="1"/>
  <c r="K37" i="21" s="1"/>
  <c r="L6" i="21" s="1"/>
  <c r="L37" i="21" s="1"/>
  <c r="M6" i="21" s="1"/>
  <c r="M37" i="21" s="1"/>
  <c r="B8" i="62"/>
  <c r="B18" i="62" s="1"/>
  <c r="B20" i="62" s="1"/>
  <c r="B32" i="62" s="1"/>
  <c r="B17" i="51"/>
  <c r="C17" i="51"/>
  <c r="E50" i="40"/>
  <c r="O16" i="21"/>
  <c r="B19" i="42"/>
  <c r="I11" i="51"/>
  <c r="I17" i="51" s="1"/>
  <c r="D50" i="40"/>
  <c r="D23" i="42" s="1"/>
  <c r="G90" i="62"/>
  <c r="G32" i="62"/>
  <c r="C32" i="62"/>
  <c r="C90" i="62"/>
  <c r="J8" i="62"/>
  <c r="J18" i="62" s="1"/>
  <c r="J20" i="62" s="1"/>
  <c r="J17" i="51"/>
  <c r="G40" i="51"/>
  <c r="B46" i="51"/>
  <c r="B52" i="51"/>
  <c r="G46" i="51"/>
  <c r="G52" i="51"/>
  <c r="G53" i="51" s="1"/>
  <c r="I52" i="51" l="1"/>
  <c r="I40" i="51"/>
  <c r="I46" i="51"/>
  <c r="D7" i="41"/>
  <c r="H5" i="82"/>
  <c r="G71" i="82"/>
  <c r="J40" i="51"/>
  <c r="J52" i="51"/>
  <c r="J46" i="51"/>
  <c r="G61" i="51"/>
  <c r="J26" i="51"/>
  <c r="J51" i="51"/>
  <c r="J53" i="51" s="1"/>
  <c r="O19" i="21"/>
  <c r="B42" i="42"/>
  <c r="B26" i="51"/>
  <c r="B18" i="51"/>
  <c r="B51" i="51"/>
  <c r="B53" i="51" s="1"/>
  <c r="B61" i="51" s="1"/>
  <c r="J32" i="62"/>
  <c r="J90" i="62"/>
  <c r="B91" i="62"/>
  <c r="E23" i="42"/>
  <c r="D22" i="42"/>
  <c r="H26" i="51"/>
  <c r="H51" i="51"/>
  <c r="H53" i="51" s="1"/>
  <c r="I51" i="51"/>
  <c r="I53" i="51" s="1"/>
  <c r="I26" i="51"/>
  <c r="C26" i="51"/>
  <c r="C51" i="51"/>
  <c r="C53" i="51" s="1"/>
  <c r="C61" i="51" s="1"/>
  <c r="C18" i="51"/>
  <c r="H71" i="82" l="1"/>
  <c r="G72" i="82"/>
  <c r="E7" i="41"/>
  <c r="D6" i="41"/>
  <c r="I61" i="51"/>
  <c r="H61" i="51"/>
  <c r="H54" i="51"/>
  <c r="J61" i="51"/>
  <c r="E22" i="42"/>
  <c r="D36" i="42"/>
  <c r="G54" i="51"/>
  <c r="D5" i="41" l="1"/>
  <c r="E6" i="41"/>
  <c r="E36" i="42"/>
  <c r="D40" i="42"/>
  <c r="E5" i="41" l="1"/>
  <c r="E77" i="41" s="1"/>
  <c r="D77" i="41"/>
  <c r="D95" i="41" s="1"/>
  <c r="E95" i="41" s="1"/>
  <c r="D7" i="42"/>
  <c r="E40" i="42"/>
  <c r="E7" i="42" l="1"/>
  <c r="E7" i="51" s="1"/>
  <c r="D7" i="51"/>
  <c r="D14" i="42"/>
  <c r="D19" i="42" l="1"/>
  <c r="E14" i="42"/>
  <c r="E8" i="62"/>
  <c r="E18" i="62" s="1"/>
  <c r="E20" i="62" s="1"/>
  <c r="E17" i="51"/>
  <c r="D8" i="62"/>
  <c r="D18" i="62" s="1"/>
  <c r="D20" i="62" s="1"/>
  <c r="D32" i="62" s="1"/>
  <c r="D17" i="51"/>
  <c r="D51" i="51" l="1"/>
  <c r="D53" i="51" s="1"/>
  <c r="D18" i="51"/>
  <c r="E18" i="51"/>
  <c r="E26" i="51"/>
  <c r="E51" i="51"/>
  <c r="E53" i="51" s="1"/>
  <c r="E32" i="62"/>
  <c r="E90" i="62"/>
  <c r="K90" i="62" s="1"/>
  <c r="E19" i="42"/>
  <c r="E42" i="42" s="1"/>
  <c r="D42" i="42"/>
  <c r="E61" i="51" l="1"/>
  <c r="J54" i="51"/>
  <c r="D61" i="51"/>
  <c r="I54" i="51"/>
</calcChain>
</file>

<file path=xl/sharedStrings.xml><?xml version="1.0" encoding="utf-8"?>
<sst xmlns="http://schemas.openxmlformats.org/spreadsheetml/2006/main" count="931" uniqueCount="580">
  <si>
    <t xml:space="preserve"> 1.5. Helyi önk. Működési célú költségvetési támogatásai és kiegészítő támogatásai</t>
  </si>
  <si>
    <t xml:space="preserve"> 1.6. Elszámolásból származó bevételek</t>
  </si>
  <si>
    <t>1. Települési önkormányzatok működésének támogatása</t>
  </si>
  <si>
    <t>Könyvtári érdekeltségnövelő támogatás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</si>
  <si>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</si>
  <si>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</si>
  <si>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</si>
  <si>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</si>
  <si>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</si>
  <si>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</si>
  <si>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</si>
  <si>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</si>
  <si>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</si>
  <si>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</si>
  <si>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</si>
  <si>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</si>
  <si>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</si>
  <si>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</si>
  <si>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</si>
  <si>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</si>
  <si>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</si>
  <si>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</si>
  <si>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</si>
  <si>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Cél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</si>
  <si>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</si>
  <si>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</si>
  <si>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</si>
  <si>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</si>
  <si>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</si>
  <si>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</si>
  <si>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</si>
  <si>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</si>
  <si>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</si>
  <si>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</si>
  <si>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</si>
  <si>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</si>
  <si>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</si>
  <si>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</si>
  <si>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</si>
  <si>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</si>
  <si>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</si>
  <si>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</si>
  <si>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</si>
  <si>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</si>
  <si>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</si>
  <si>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</si>
  <si>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</si>
  <si>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</si>
  <si>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</si>
  <si>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</si>
  <si>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</si>
  <si>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3. Egyéb közhatalmi bevételek  (bírság, pótlék,)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</si>
  <si>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</si>
  <si>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</si>
  <si>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</si>
  <si>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</si>
  <si>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</si>
  <si>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</si>
  <si>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</si>
  <si>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</si>
  <si>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</si>
  <si>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</si>
  <si>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</si>
  <si>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2. Ingatlanok értékesítése</t>
  </si>
  <si>
    <t xml:space="preserve">  3. Egyéb tárgyi eszközök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</si>
  <si>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</si>
  <si>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</si>
  <si>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</si>
  <si>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</si>
  <si>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</si>
  <si>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</si>
  <si>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</si>
  <si>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</si>
  <si>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</si>
  <si>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</si>
  <si>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</si>
  <si>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</si>
  <si>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</si>
  <si>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</si>
  <si>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</si>
  <si>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</si>
  <si>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</si>
  <si>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</si>
  <si>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</si>
  <si>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</si>
  <si>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</si>
  <si>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 xml:space="preserve">Pénzbeli szociális juttatások </t>
  </si>
  <si>
    <t>Egyes szoc.és gyermekjólétii felad.támog.</t>
  </si>
  <si>
    <t xml:space="preserve">     szociális étkeztetés</t>
  </si>
  <si>
    <t xml:space="preserve">  Fogyatékos és demens személyek nappali intézményi ellátása</t>
  </si>
  <si>
    <t xml:space="preserve">     foglalkoztatási támog-ban részesülő fogyatékos nappali intézményben ellátottak</t>
  </si>
  <si>
    <t xml:space="preserve">  Gyermekek napközbeni ellátása</t>
  </si>
  <si>
    <t xml:space="preserve">    bölcsödei ellátás</t>
  </si>
  <si>
    <t xml:space="preserve">    bölcsödei ellátás hátrányos helyzetű gyermek</t>
  </si>
  <si>
    <t>Gyermekétkeztetés támogatása</t>
  </si>
  <si>
    <t xml:space="preserve">   Finanszírozás szempontjábol elismert dolgozók bértámogatása</t>
  </si>
  <si>
    <t xml:space="preserve">  Gyermekétkeztetés üzemeltetési  támogatása</t>
  </si>
  <si>
    <t>Kulturális feladatok támogatása</t>
  </si>
  <si>
    <t>Nyilvános könyvtári és közművelődési feladatok támogatása</t>
  </si>
  <si>
    <t>Lakott külterületekkel kapcsolatos feladatok támogatása</t>
  </si>
  <si>
    <t>Összesen</t>
  </si>
  <si>
    <t>Sorszám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</si>
  <si>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</si>
  <si>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</si>
  <si>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</si>
  <si>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</si>
  <si>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</si>
  <si>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</si>
  <si>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</si>
  <si>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</si>
  <si>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</si>
  <si>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</si>
  <si>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</si>
  <si>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</si>
  <si>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</si>
  <si>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</si>
  <si>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</si>
  <si>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</si>
  <si>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</si>
  <si>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</si>
  <si>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</si>
  <si>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</si>
  <si>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</si>
  <si>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</si>
  <si>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>2. Munkaadót terhelő járulékok és szoc.hj. Adó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</si>
  <si>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</si>
  <si>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</si>
  <si>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</si>
  <si>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</si>
  <si>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</si>
  <si>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</si>
  <si>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</si>
  <si>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</si>
  <si>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</si>
  <si>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</si>
  <si>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</si>
  <si>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</si>
  <si>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</si>
  <si>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</si>
  <si>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</si>
  <si>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</si>
  <si>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</si>
  <si>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</si>
  <si>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</si>
  <si>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</si>
  <si>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</si>
  <si>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</si>
  <si>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</si>
  <si>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</si>
  <si>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</si>
  <si>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</si>
  <si>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</si>
  <si>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</si>
  <si>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</si>
  <si>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</si>
  <si>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</si>
  <si>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</si>
  <si>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</si>
  <si>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</si>
  <si>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</si>
  <si>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</si>
  <si>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</si>
  <si>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</si>
  <si>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</si>
  <si>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</si>
  <si>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</si>
  <si>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</si>
  <si>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</si>
  <si>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</si>
  <si>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</si>
  <si>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</si>
  <si>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</si>
  <si>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</si>
  <si>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</si>
  <si>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</si>
  <si>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</si>
  <si>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</si>
  <si>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</si>
  <si>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</si>
  <si>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</si>
  <si>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</si>
  <si>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</si>
  <si>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</si>
  <si>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</si>
  <si>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</si>
  <si>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</si>
  <si>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</si>
  <si>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</si>
  <si>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</si>
  <si>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</si>
  <si>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</si>
  <si>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</si>
  <si>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</si>
  <si>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</si>
  <si>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</si>
  <si>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</si>
  <si>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</si>
  <si>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</si>
  <si>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</si>
  <si>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</si>
  <si>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</si>
  <si>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</si>
  <si>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</si>
  <si>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</si>
  <si>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</si>
  <si>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</si>
  <si>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</si>
  <si>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</si>
  <si>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</si>
  <si>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</si>
  <si>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</si>
  <si>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</si>
  <si>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</si>
  <si>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</si>
  <si>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</si>
  <si>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</si>
  <si>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</si>
  <si>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</si>
  <si>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</si>
  <si>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</si>
  <si>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</si>
  <si>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</si>
  <si>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</si>
  <si>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</si>
  <si>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</si>
  <si>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</si>
  <si>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</si>
  <si>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</si>
  <si>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</si>
  <si>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</si>
  <si>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</si>
  <si>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</si>
  <si>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</si>
  <si>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</si>
  <si>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</si>
  <si>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</si>
  <si>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</si>
  <si>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</si>
  <si>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Települési önkormányzatok szociális feladatainak egyéb támogatása</t>
  </si>
  <si>
    <t>Pénzbeli szociális ellátások kiegészítése</t>
  </si>
  <si>
    <t>Méltányos ápolási díj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</si>
  <si>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</si>
  <si>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</si>
  <si>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</si>
  <si>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 xml:space="preserve">     fogyatékos személyek nappali intézményi ellátása társulás általi feladatellátás</t>
  </si>
  <si>
    <t>demens személyek nappali intézményi ellátása - társulás által történő feladatellátás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</si>
  <si>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</si>
  <si>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</si>
  <si>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</si>
  <si>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</si>
  <si>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</si>
  <si>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</si>
  <si>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</si>
  <si>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</si>
  <si>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</si>
  <si>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</si>
  <si>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</si>
  <si>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</si>
  <si>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</si>
  <si>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</si>
  <si>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</si>
  <si>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 xml:space="preserve">Több éves kihatással járó döntésekből származó kötelezettségek célok szerint, </t>
  </si>
  <si>
    <t xml:space="preserve">Kötelezettség jogcíme </t>
  </si>
  <si>
    <t>Kötelezettség-</t>
  </si>
  <si>
    <t>2018. után</t>
  </si>
  <si>
    <t>Tárgyéven túli köt. Összesen (7+8+9+10)</t>
  </si>
  <si>
    <t>Összesen (4+5+6+11)</t>
  </si>
  <si>
    <t xml:space="preserve">vállalás </t>
  </si>
  <si>
    <t xml:space="preserve">kifizetés </t>
  </si>
  <si>
    <t>2016.</t>
  </si>
  <si>
    <t>2017.</t>
  </si>
  <si>
    <t>2018.</t>
  </si>
  <si>
    <t xml:space="preserve">éve </t>
  </si>
  <si>
    <t>(aktuális  kv-i év)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</si>
  <si>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</si>
  <si>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</si>
  <si>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</si>
  <si>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</si>
  <si>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</si>
  <si>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</si>
  <si>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</si>
  <si>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</si>
  <si>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</si>
  <si>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</si>
  <si>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</si>
  <si>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</si>
  <si>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Működési célú hitel-törlesztés</t>
  </si>
  <si>
    <t>(tőke + kamat )</t>
  </si>
  <si>
    <t>Felhalmozási célú hitel-törlesztés</t>
  </si>
  <si>
    <t xml:space="preserve">(tőke + kamat) </t>
  </si>
  <si>
    <t>hitel összesen</t>
  </si>
  <si>
    <t>13.</t>
  </si>
  <si>
    <t>kamat összesen</t>
  </si>
  <si>
    <t>kezességvállalás: hitelek összesen</t>
  </si>
  <si>
    <t>kezességvállalás: hitelkamatok össz.</t>
  </si>
  <si>
    <t>Fejlesztés feladatonként</t>
  </si>
  <si>
    <t>Összesen: (1+4+9)</t>
  </si>
  <si>
    <t>Az önkormányzat által adott közvetett támogatások</t>
  </si>
  <si>
    <t xml:space="preserve">Bevételi jogcím </t>
  </si>
  <si>
    <t>Intézmények,</t>
  </si>
  <si>
    <t xml:space="preserve">Kedvezmény nélkül </t>
  </si>
  <si>
    <t xml:space="preserve">Kedvezmények </t>
  </si>
  <si>
    <t>adónemek</t>
  </si>
  <si>
    <t>elérhető</t>
  </si>
  <si>
    <t>összege</t>
  </si>
  <si>
    <t>Ellátottak térítési díjának ill. kártérítésének méltányossági alapon történő elengedésének összege</t>
  </si>
  <si>
    <t>Lakosság részére nyújtott lakásépítéshez, lakásfelújításhoz nyújtott kölcsönök elengedésének összege</t>
  </si>
  <si>
    <t>Helyi adónál, gépjárműadónál biztosított kedvezmény, mentesség összege</t>
  </si>
  <si>
    <t>Építményadó</t>
  </si>
  <si>
    <t>Iparűzési adó</t>
  </si>
  <si>
    <t>IFA személyek után</t>
  </si>
  <si>
    <t>Telekadó</t>
  </si>
  <si>
    <t>Talajterhelési díj</t>
  </si>
  <si>
    <t>Gépjárműadó</t>
  </si>
  <si>
    <t>Helyiségek, eszközök hasznosításából származó bevételből nyújtott kedvezmény, mentesség összege</t>
  </si>
  <si>
    <t>egyéb nyújtott kedvezmény vagy kölcsön elengedésének összege</t>
  </si>
  <si>
    <t>Összesen :</t>
  </si>
  <si>
    <t xml:space="preserve">EU Projekt megnevezése: </t>
  </si>
  <si>
    <t>Bevételek</t>
  </si>
  <si>
    <t>2017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</si>
  <si>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</si>
  <si>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</si>
  <si>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</si>
  <si>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</si>
  <si>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</si>
  <si>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</si>
  <si>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</si>
  <si>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</si>
  <si>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</si>
  <si>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</si>
  <si>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</si>
  <si>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</si>
  <si>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1. Helyi adó bevétel</t>
  </si>
  <si>
    <t>2. Vagyon és vagyonértékű jog értékesítéséből származó bevétel</t>
  </si>
  <si>
    <t>3. Osztalék, koncessziós díj és hozambevétel,</t>
  </si>
  <si>
    <t>4. tárgyi eszköz és immateriális jószág, részvény, részesedés, vállalalat értékesítésből vagy privatizációból származó bevétel</t>
  </si>
  <si>
    <t>5. Bírság, pótlék- és díjbevétel</t>
  </si>
  <si>
    <t>6. Kezességvállalással kapcsolatos megtérülés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</si>
  <si>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</si>
  <si>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</si>
  <si>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</si>
  <si>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Az Önkormányzat adósságállományának alakulása</t>
  </si>
  <si>
    <t>Felvétel</t>
  </si>
  <si>
    <t xml:space="preserve">Lejárat </t>
  </si>
  <si>
    <t>Hitel állomány január 1-jén</t>
  </si>
  <si>
    <t xml:space="preserve">Hitel jellege </t>
  </si>
  <si>
    <t>éve</t>
  </si>
  <si>
    <t>BELFÖLDI HITELÁLLOMÁNY</t>
  </si>
  <si>
    <t>Működési célú hitel állomány + kamat</t>
  </si>
  <si>
    <t xml:space="preserve">Hitel összesen </t>
  </si>
  <si>
    <t xml:space="preserve">Kamat összesen </t>
  </si>
  <si>
    <t>Felhalmozási célú hitel állomány+kamat</t>
  </si>
  <si>
    <t>Hitel összesen (7-10)</t>
  </si>
  <si>
    <t>Kamat összesen (12-15)</t>
  </si>
  <si>
    <t>Összesen: (1+6)</t>
  </si>
  <si>
    <t>KÜLFÖLDI HITELÁLLOMÁNY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</si>
  <si>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</si>
  <si>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</si>
  <si>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</si>
  <si>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</si>
  <si>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</si>
  <si>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</si>
  <si>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</si>
  <si>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</si>
  <si>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</si>
  <si>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</si>
  <si>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</si>
  <si>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</si>
  <si>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</si>
  <si>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</si>
  <si>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 (18+23)</t>
  </si>
  <si>
    <t>28.</t>
  </si>
  <si>
    <t>Összesen: (17+32)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</si>
  <si>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</si>
  <si>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</si>
  <si>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</si>
  <si>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</si>
  <si>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</si>
  <si>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</si>
  <si>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 xml:space="preserve">     család- és gyermekjóléti szolgálat</t>
  </si>
  <si>
    <t xml:space="preserve">     család- és gyermekjóléti központ</t>
  </si>
  <si>
    <t xml:space="preserve">     házi segítségnyújtás - társulás által történő feladatellátás</t>
  </si>
  <si>
    <t xml:space="preserve">     időskorúak nappali intézényi ellátása - társulás által történő feladatellátás</t>
  </si>
  <si>
    <t xml:space="preserve">  A rászoruló gyermekek intézményen kívüli szünidei étkeztetésének támogatása</t>
  </si>
  <si>
    <t xml:space="preserve">    kiegészítő támogatás a bölcsődében foglalkoztatott felsőfokú végzettségű kisgyermeknevelők béréhez</t>
  </si>
  <si>
    <t>Beruházás</t>
  </si>
  <si>
    <t>1.3. Magánszemélyek kommunális adója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</si>
  <si>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</si>
  <si>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</si>
  <si>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</si>
  <si>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</si>
  <si>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</si>
  <si>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</si>
  <si>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</si>
  <si>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</si>
  <si>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</si>
  <si>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</si>
  <si>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</si>
  <si>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</si>
  <si>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</si>
  <si>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</si>
  <si>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</si>
  <si>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</si>
  <si>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</si>
  <si>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</si>
  <si>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</si>
  <si>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</si>
  <si>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</si>
  <si>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</si>
  <si>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</si>
  <si>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</si>
  <si>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</si>
  <si>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</si>
  <si>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</si>
  <si>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</si>
  <si>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</si>
  <si>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</si>
  <si>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</si>
  <si>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Kommunális adó</t>
  </si>
  <si>
    <t>Egyéb bírság</t>
  </si>
  <si>
    <t>Szeptem-ber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</si>
  <si>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</si>
  <si>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</si>
  <si>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</si>
  <si>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</si>
  <si>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</si>
  <si>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</si>
  <si>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</si>
  <si>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</si>
  <si>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</si>
  <si>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</si>
  <si>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</si>
  <si>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</si>
  <si>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</si>
  <si>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</si>
  <si>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</si>
  <si>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</si>
  <si>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1.7. Gyermekétkeztetés</t>
  </si>
  <si>
    <t>Születési segély</t>
  </si>
  <si>
    <t>8. Állami támogatás megelőlegezés</t>
  </si>
  <si>
    <t>Falugondnoki szolgáltatás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</si>
  <si>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</si>
  <si>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</si>
  <si>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</si>
  <si>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</si>
  <si>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</si>
  <si>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</si>
  <si>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</si>
  <si>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</si>
  <si>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</si>
  <si>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</si>
  <si>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</si>
  <si>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2018 év</t>
  </si>
  <si>
    <t>2019.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</si>
  <si>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</si>
  <si>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</si>
  <si>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</si>
  <si>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</si>
  <si>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</si>
  <si>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Közoös Hivatal (rendszeres gyermekvédelmi)</t>
  </si>
  <si>
    <t>Gyermekjóléti szolgálat</t>
  </si>
  <si>
    <t>Rendelőintézet (Ügyeleti díj)</t>
  </si>
  <si>
    <t>Balatonfüredi Többcélú Társulás (Belső ellenőrzés)</t>
  </si>
  <si>
    <t>Működési célú támogatás államháztartáson kívülre</t>
  </si>
  <si>
    <t>Egyesületek alapítványok támogatása</t>
  </si>
  <si>
    <t>Pécselyi Református Egyházközség</t>
  </si>
  <si>
    <t>Pécselyi Katolikus Egyház</t>
  </si>
  <si>
    <t>Pécselyi Ált.Isk. és Óvoda Gyermekeiért Alapítvány</t>
  </si>
  <si>
    <t xml:space="preserve">Pécselyi Sportegyesület </t>
  </si>
  <si>
    <t>Balaton-felvidéki Turisztikai Közhasznú Egyesület</t>
  </si>
  <si>
    <t>Balatonfüredi Református Iskola</t>
  </si>
  <si>
    <t>Bakonykarszt pályázati támogatás (lakossági víz és szennyv.sz.)</t>
  </si>
  <si>
    <t>Balatonfüredi Önkéntes Tűzoltóság</t>
  </si>
  <si>
    <t xml:space="preserve">Tihany Iskoláért alapítvány 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</si>
  <si>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</si>
  <si>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</si>
  <si>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</si>
  <si>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</si>
  <si>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</si>
  <si>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2018. évi várható előirányzatok</t>
  </si>
  <si>
    <t>2019. évi várható előirányzatok</t>
  </si>
  <si>
    <t>I. Működési támogatások államháztartáson belülről</t>
  </si>
  <si>
    <t>II. Felhalmozási támogatások államháztartáson belülről</t>
  </si>
  <si>
    <t xml:space="preserve">VIII. Finanszírozási  bevételek </t>
  </si>
  <si>
    <t>1. Költségvetési hiány belső finanszírozására szolgáló finanszírozási bevételek</t>
  </si>
  <si>
    <t>2. Költségvetési hiány külső finanszírozására, vagy költségvetési többlet felhasználására szolgáló  finanszírozási bevételek</t>
  </si>
  <si>
    <t>I. Működési kiadások</t>
  </si>
  <si>
    <t>2.  Munkaadót terhelő járulék és szociális hozzájárulási adó</t>
  </si>
  <si>
    <t>II. Felhalmozási kiadások</t>
  </si>
  <si>
    <t>1. Beruházások</t>
  </si>
  <si>
    <t>Állami támogatás megelőlegezés visszafiz.</t>
  </si>
  <si>
    <t>9. Lekötött betét bevonása</t>
  </si>
  <si>
    <t>2. Felújítás</t>
  </si>
  <si>
    <t>2017. évi javaslat</t>
  </si>
  <si>
    <t xml:space="preserve"> Az Önkormányzat önként vállalt feladatok bevételei és kiadásai  2017. év</t>
  </si>
  <si>
    <t xml:space="preserve"> Az Önkormányzat  kötelező feladatok bevételei és kiadásai  2017. év</t>
  </si>
  <si>
    <t xml:space="preserve"> Az Önkormányzat állami (államigazgatási) feladatok bevételei és kiadásai  2017. év</t>
  </si>
  <si>
    <t xml:space="preserve"> Az Önkormányzat felhalmozási bevételei és kiadásai  2017. év</t>
  </si>
  <si>
    <t>Bevétele és kiadások mérlege 2017. év</t>
  </si>
  <si>
    <t>2020.</t>
  </si>
  <si>
    <t xml:space="preserve">                                (kedvezmények) 2017. év                       </t>
  </si>
  <si>
    <t>2017. előtti</t>
  </si>
  <si>
    <t>2016. évi költségvetés terhére fizetendő</t>
  </si>
  <si>
    <t>2021 után</t>
  </si>
  <si>
    <t>2019 év</t>
  </si>
  <si>
    <t xml:space="preserve">Egyéb önkormányzati támogatás, átmeneti segély </t>
  </si>
  <si>
    <t>Belterületi utak felújítása pályázathoz önerő (75/2016. (05.30.) hat.)</t>
  </si>
  <si>
    <t>Belterületi utak felújítása pályázat</t>
  </si>
  <si>
    <t>I. Világháborús emlékművek helyreállítása</t>
  </si>
  <si>
    <t>Bérelt önkormányzati lakáson felújítás (ablakcsere)</t>
  </si>
  <si>
    <t>iskolán viharkár miatti felújítás</t>
  </si>
  <si>
    <t>Egyéb felhalm.tám. ÁHB (óvoda fenntartás tám.)</t>
  </si>
  <si>
    <t>Kultúrház korlát</t>
  </si>
  <si>
    <t>Laptop beszerzése</t>
  </si>
  <si>
    <t>Katolikus temető ravatalozó</t>
  </si>
  <si>
    <t>Hotoló beszerzés fűnyírótraktorhoz</t>
  </si>
  <si>
    <t>Mozgáskorlátozott feljáró (orvosi rendelő felújítása)</t>
  </si>
  <si>
    <t>Hivatal felújítása, parkettázás</t>
  </si>
  <si>
    <t>adósságkonszolidáció - Kultúrház, orvosi rendelő és lakás hőszigetelése és vakolása, református temető (önkormányzati) ravatalozó felújítása</t>
  </si>
  <si>
    <t>1.4. Adósságkonszolidációs tám.</t>
  </si>
  <si>
    <t>1.3. Belterületi utak felújítása támogatás</t>
  </si>
  <si>
    <t>3.1. KKETTKK vissza nem térítendő támogatás</t>
  </si>
  <si>
    <t>2016. évről áthúzódó bérkompenzáció támogatása</t>
  </si>
  <si>
    <t>2020. évi várható előirányzatok</t>
  </si>
  <si>
    <t>bevétel Ft</t>
  </si>
  <si>
    <t>Ft</t>
  </si>
  <si>
    <t>Balatonfüredi Többcélú Társulás (Jelzőrendszeres házi segítségnyújtás, Házi segítségnyújtás, belső ellenőrzés)</t>
  </si>
  <si>
    <t>évenkénti bontásban (Ft)</t>
  </si>
  <si>
    <t>lejárat, eszközök bel- és külföldi hitelezők szerinti bontásban (Ft-ban)</t>
  </si>
  <si>
    <t>2017. évi eredeti</t>
  </si>
  <si>
    <t>I. Módosítás</t>
  </si>
  <si>
    <t>Eltérés</t>
  </si>
  <si>
    <t>Veszprém Megyei Kutató Mentő Szolgálat Alapítvány támogatása</t>
  </si>
  <si>
    <t>Elszámolásból származó bevételek</t>
  </si>
  <si>
    <t>2017. évi bérkompenzáció (éves)</t>
  </si>
  <si>
    <t xml:space="preserve"> Helyi önkormányzat működési célú költségvetési támogatásai és kiegészítő támogatásai</t>
  </si>
  <si>
    <t xml:space="preserve">    1.1. Előző év költségvetési maradványának  igénybevétele működési célra</t>
  </si>
  <si>
    <t>1.1. Helyi önk. működésének ált. támogatása</t>
  </si>
  <si>
    <t xml:space="preserve">   ebből működési célú támogatás társadalombiztosítási alapból</t>
  </si>
  <si>
    <t>AZ ÖNKORMÁNYZAT FŐÖSSZESÍTŐJE</t>
  </si>
  <si>
    <t>Az önkormányzat 2017. évi költségvetéséről szóló 1/2017. (II.15.) önkormányzati rendelet helyébe a következő 1. melléklet lép</t>
  </si>
  <si>
    <t>BEVÉTELEK ELŐIRÁNYZATA</t>
  </si>
  <si>
    <t>ÁLLAMI TÁMOGATÁSOK 2017. ÉV</t>
  </si>
  <si>
    <t>MŰKÖDÉSI KIADÁSOK 2017. ÉV</t>
  </si>
  <si>
    <t>FELHALMOZÁSI KIADÁSOK 2017. ÉV</t>
  </si>
  <si>
    <t>Az önkormányzat működési bevételei és kiadásai</t>
  </si>
  <si>
    <t>EURÓPAI UNIÓS TÁMOGATÁSSAL MEGVALÓSULÓ MEGVALÓSULÓ PROGRAMOK BEVÉTELEI ÉS KIADÁSAI 2017. ÉV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</si>
  <si>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2017.  </t>
    </r>
  </si>
  <si>
    <t>II. módosítás</t>
  </si>
  <si>
    <t>II. Módosítás</t>
  </si>
  <si>
    <t>Immateriális javak beszerzése</t>
  </si>
  <si>
    <t>Informatikai eszközök beszerzése</t>
  </si>
  <si>
    <t>Egyéb tárgyi eszköz beszerzése</t>
  </si>
  <si>
    <t>Kisértékű eszközök beszerzése</t>
  </si>
  <si>
    <t>Kukatároló térfigyelő rendszer kiépítése 64/2017.(V.11.)</t>
  </si>
  <si>
    <t>Település Arculati Kézikönyv</t>
  </si>
  <si>
    <t>Buszvárók felújítása</t>
  </si>
  <si>
    <t>III. Felhalmozási kiadások összesen:</t>
  </si>
  <si>
    <t>Orvosi lakás burkoló munkája</t>
  </si>
  <si>
    <t>Iskola étkező ajtó csere</t>
  </si>
  <si>
    <t>IV. Egyéb működési célú kiadások  (4)</t>
  </si>
  <si>
    <t>Laptop windows</t>
  </si>
  <si>
    <t xml:space="preserve">Rendezvénysátor sátortalpak </t>
  </si>
  <si>
    <t>Rendezvénysátor 1/4 tulajdonrésze 98/2017(VIII.10.)</t>
  </si>
  <si>
    <t>Létszám</t>
  </si>
  <si>
    <t>Mutató</t>
  </si>
  <si>
    <t>Fajlagos</t>
  </si>
  <si>
    <t>A település arculati kézikönyv támogatása</t>
  </si>
  <si>
    <t>Balatonfüredi Önkéntes Tűzoltóság 2017. évi tagdíja</t>
  </si>
  <si>
    <t>Előző évi közfoglalkoztatotti támogatás visszafizetése</t>
  </si>
  <si>
    <t>Ravatalozó felújítása, parkoló térkövezése</t>
  </si>
  <si>
    <t>Kultúrház hőszigetelt homlokzat készítés</t>
  </si>
  <si>
    <t>Orvosi rendelő hőszigetelt homlokzat készítése</t>
  </si>
  <si>
    <t>70/2017(V.11.)többletköltség</t>
  </si>
  <si>
    <t>71/2017(V.11.) többletköltség</t>
  </si>
  <si>
    <t>BURSA ösztöndíj</t>
  </si>
  <si>
    <t>tüzifa</t>
  </si>
  <si>
    <t xml:space="preserve">  ebből: diák munkabér támogatás</t>
  </si>
  <si>
    <t xml:space="preserve"> Helyi önk. Működési célú költségvetési támogatásai és kiegészítő támogatásai</t>
  </si>
  <si>
    <t>Polgármesteri illetmény, minimálbér, garantált bérminimum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</si>
</sst>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mmm\ d/"/>
    <numFmt numFmtId="165" formatCode="#,##0.0000"/>
    <numFmt numFmtId="166" formatCode="#,##0.0"/>
    <numFmt numFmtId="167" formatCode="#\ ##0"/>
    <numFmt numFmtId="168" formatCode="_-* #,##0\ _F_t_-;\-* #,##0\ _F_t_-;_-* &quot;-&quot;??\ _F_t_-;_-@_-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ill="0" applyBorder="0" applyAlignment="0" applyProtection="0"/>
    <xf numFmtId="43" fontId="25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22" fillId="26" borderId="7" applyNumberFormat="0" applyFont="0" applyAlignment="0" applyProtection="0"/>
    <xf numFmtId="0" fontId="12" fillId="27" borderId="8" applyNumberFormat="0" applyAlignment="0" applyProtection="0"/>
    <xf numFmtId="0" fontId="10" fillId="0" borderId="6" applyNumberFormat="0" applyFill="0" applyAlignment="0" applyProtection="0"/>
    <xf numFmtId="0" fontId="16" fillId="28" borderId="0" applyNumberFormat="0" applyBorder="0" applyAlignment="0" applyProtection="0"/>
    <xf numFmtId="0" fontId="22" fillId="0" borderId="0"/>
    <xf numFmtId="0" fontId="29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6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6" fillId="0" borderId="0"/>
    <xf numFmtId="0" fontId="27" fillId="0" borderId="0"/>
    <xf numFmtId="0" fontId="22" fillId="26" borderId="7" applyNumberFormat="0" applyFont="0" applyAlignment="0" applyProtection="0"/>
    <xf numFmtId="0" fontId="12" fillId="27" borderId="8" applyNumberFormat="0" applyAlignment="0" applyProtection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864">
    <xf numFmtId="0" fontId="0" fillId="0" borderId="0" xfId="0"/>
    <xf numFmtId="0" fontId="22" fillId="0" borderId="0" xfId="74"/>
    <xf numFmtId="0" fontId="22" fillId="0" borderId="0" xfId="74" applyAlignment="1">
      <alignment horizontal="center"/>
    </xf>
    <xf numFmtId="0" fontId="28" fillId="0" borderId="10" xfId="74" applyFont="1" applyBorder="1" applyAlignment="1">
      <alignment horizontal="center"/>
    </xf>
    <xf numFmtId="0" fontId="28" fillId="0" borderId="11" xfId="74" applyFont="1" applyBorder="1" applyAlignment="1">
      <alignment horizontal="center"/>
    </xf>
    <xf numFmtId="0" fontId="14" fillId="0" borderId="12" xfId="74" applyFont="1" applyBorder="1" applyAlignment="1">
      <alignment horizontal="center"/>
    </xf>
    <xf numFmtId="0" fontId="28" fillId="0" borderId="12" xfId="74" applyFont="1" applyBorder="1" applyAlignment="1">
      <alignment horizontal="center"/>
    </xf>
    <xf numFmtId="0" fontId="28" fillId="0" borderId="13" xfId="74" applyFont="1" applyBorder="1" applyAlignment="1">
      <alignment horizontal="center"/>
    </xf>
    <xf numFmtId="0" fontId="28" fillId="0" borderId="13" xfId="74" applyFont="1" applyBorder="1" applyAlignment="1">
      <alignment horizontal="center" wrapText="1"/>
    </xf>
    <xf numFmtId="0" fontId="14" fillId="0" borderId="14" xfId="74" applyFont="1" applyBorder="1" applyAlignment="1">
      <alignment horizontal="center"/>
    </xf>
    <xf numFmtId="0" fontId="28" fillId="0" borderId="15" xfId="74" applyFont="1" applyBorder="1" applyAlignment="1">
      <alignment horizontal="center"/>
    </xf>
    <xf numFmtId="0" fontId="14" fillId="0" borderId="15" xfId="74" applyFont="1" applyBorder="1" applyAlignment="1">
      <alignment horizontal="center"/>
    </xf>
    <xf numFmtId="0" fontId="28" fillId="0" borderId="16" xfId="74" applyFont="1" applyBorder="1" applyAlignment="1">
      <alignment horizontal="center"/>
    </xf>
    <xf numFmtId="0" fontId="28" fillId="0" borderId="16" xfId="74" applyFont="1" applyBorder="1" applyAlignment="1">
      <alignment wrapText="1"/>
    </xf>
    <xf numFmtId="0" fontId="14" fillId="29" borderId="16" xfId="74" applyFont="1" applyFill="1" applyBorder="1"/>
    <xf numFmtId="0" fontId="14" fillId="0" borderId="16" xfId="74" applyFont="1" applyBorder="1"/>
    <xf numFmtId="0" fontId="28" fillId="0" borderId="14" xfId="74" applyFont="1" applyBorder="1" applyAlignment="1">
      <alignment horizontal="center"/>
    </xf>
    <xf numFmtId="0" fontId="22" fillId="0" borderId="14" xfId="74" applyBorder="1"/>
    <xf numFmtId="0" fontId="14" fillId="0" borderId="14" xfId="74" applyFont="1" applyBorder="1"/>
    <xf numFmtId="0" fontId="28" fillId="0" borderId="16" xfId="74" applyFont="1" applyFill="1" applyBorder="1"/>
    <xf numFmtId="0" fontId="22" fillId="0" borderId="16" xfId="74" applyBorder="1"/>
    <xf numFmtId="0" fontId="14" fillId="0" borderId="10" xfId="74" applyFont="1" applyBorder="1"/>
    <xf numFmtId="3" fontId="28" fillId="0" borderId="16" xfId="74" applyNumberFormat="1" applyFont="1" applyBorder="1"/>
    <xf numFmtId="3" fontId="14" fillId="0" borderId="14" xfId="74" applyNumberFormat="1" applyFont="1" applyBorder="1"/>
    <xf numFmtId="3" fontId="14" fillId="0" borderId="16" xfId="74" applyNumberFormat="1" applyFont="1" applyBorder="1"/>
    <xf numFmtId="0" fontId="28" fillId="0" borderId="10" xfId="74" applyFont="1" applyFill="1" applyBorder="1"/>
    <xf numFmtId="3" fontId="28" fillId="0" borderId="10" xfId="74" applyNumberFormat="1" applyFont="1" applyBorder="1"/>
    <xf numFmtId="0" fontId="28" fillId="0" borderId="16" xfId="74" applyFont="1" applyBorder="1"/>
    <xf numFmtId="0" fontId="22" fillId="0" borderId="0" xfId="74" applyBorder="1"/>
    <xf numFmtId="3" fontId="14" fillId="0" borderId="10" xfId="74" applyNumberFormat="1" applyFont="1" applyBorder="1"/>
    <xf numFmtId="0" fontId="19" fillId="0" borderId="16" xfId="74" applyFont="1" applyBorder="1" applyAlignment="1">
      <alignment horizontal="center"/>
    </xf>
    <xf numFmtId="3" fontId="19" fillId="0" borderId="16" xfId="74" applyNumberFormat="1" applyFont="1" applyBorder="1"/>
    <xf numFmtId="0" fontId="24" fillId="0" borderId="0" xfId="89" applyFont="1" applyFill="1" applyBorder="1" applyAlignment="1">
      <alignment horizontal="left" vertical="center" wrapText="1"/>
    </xf>
    <xf numFmtId="0" fontId="30" fillId="0" borderId="17" xfId="87" applyFont="1" applyFill="1" applyBorder="1" applyAlignment="1">
      <alignment horizontal="left" vertical="center" wrapText="1" indent="1"/>
    </xf>
    <xf numFmtId="0" fontId="24" fillId="0" borderId="18" xfId="87" applyFont="1" applyFill="1" applyBorder="1" applyAlignment="1">
      <alignment horizontal="left" vertical="center" wrapText="1" indent="2"/>
    </xf>
    <xf numFmtId="0" fontId="24" fillId="0" borderId="18" xfId="87" applyFont="1" applyFill="1" applyBorder="1" applyAlignment="1">
      <alignment horizontal="left" vertical="center" wrapText="1" indent="1"/>
    </xf>
    <xf numFmtId="0" fontId="30" fillId="0" borderId="0" xfId="89" applyFont="1" applyAlignment="1">
      <alignment horizontal="center" wrapText="1"/>
    </xf>
    <xf numFmtId="0" fontId="31" fillId="0" borderId="0" xfId="89" applyFont="1"/>
    <xf numFmtId="0" fontId="24" fillId="0" borderId="0" xfId="89" applyFont="1"/>
    <xf numFmtId="0" fontId="14" fillId="0" borderId="0" xfId="89"/>
    <xf numFmtId="0" fontId="30" fillId="0" borderId="16" xfId="89" applyFont="1" applyBorder="1" applyAlignment="1">
      <alignment horizontal="center" vertical="center" wrapText="1"/>
    </xf>
    <xf numFmtId="0" fontId="30" fillId="0" borderId="19" xfId="89" applyFont="1" applyBorder="1" applyAlignment="1">
      <alignment horizontal="center" vertical="center" wrapText="1"/>
    </xf>
    <xf numFmtId="0" fontId="30" fillId="0" borderId="20" xfId="89" applyFont="1" applyBorder="1" applyAlignment="1">
      <alignment horizontal="center" vertical="center" wrapText="1"/>
    </xf>
    <xf numFmtId="0" fontId="14" fillId="0" borderId="0" xfId="89" applyAlignment="1">
      <alignment horizontal="center" vertical="center"/>
    </xf>
    <xf numFmtId="0" fontId="24" fillId="0" borderId="16" xfId="89" applyFont="1" applyBorder="1" applyAlignment="1">
      <alignment horizontal="left" wrapText="1"/>
    </xf>
    <xf numFmtId="3" fontId="24" fillId="0" borderId="16" xfId="89" applyNumberFormat="1" applyFont="1" applyBorder="1"/>
    <xf numFmtId="0" fontId="14" fillId="0" borderId="0" xfId="89" applyFont="1"/>
    <xf numFmtId="3" fontId="24" fillId="0" borderId="19" xfId="89" applyNumberFormat="1" applyFont="1" applyBorder="1"/>
    <xf numFmtId="0" fontId="24" fillId="0" borderId="20" xfId="89" applyFont="1" applyBorder="1"/>
    <xf numFmtId="0" fontId="24" fillId="0" borderId="16" xfId="89" applyFont="1" applyBorder="1"/>
    <xf numFmtId="0" fontId="20" fillId="30" borderId="21" xfId="87" applyFont="1" applyFill="1" applyBorder="1" applyAlignment="1">
      <alignment wrapText="1"/>
    </xf>
    <xf numFmtId="0" fontId="20" fillId="30" borderId="22" xfId="87" applyFont="1" applyFill="1" applyBorder="1" applyAlignment="1">
      <alignment wrapText="1"/>
    </xf>
    <xf numFmtId="0" fontId="30" fillId="0" borderId="16" xfId="89" applyFont="1" applyBorder="1" applyAlignment="1">
      <alignment horizontal="left" wrapText="1"/>
    </xf>
    <xf numFmtId="3" fontId="30" fillId="0" borderId="16" xfId="89" applyNumberFormat="1" applyFont="1" applyBorder="1" applyAlignment="1">
      <alignment horizontal="right" wrapText="1"/>
    </xf>
    <xf numFmtId="3" fontId="30" fillId="0" borderId="19" xfId="89" applyNumberFormat="1" applyFont="1" applyBorder="1" applyAlignment="1">
      <alignment horizontal="right" wrapText="1"/>
    </xf>
    <xf numFmtId="3" fontId="30" fillId="0" borderId="20" xfId="89" applyNumberFormat="1" applyFont="1" applyBorder="1" applyAlignment="1">
      <alignment horizontal="right" wrapText="1"/>
    </xf>
    <xf numFmtId="3" fontId="30" fillId="0" borderId="16" xfId="89" applyNumberFormat="1" applyFont="1" applyBorder="1"/>
    <xf numFmtId="0" fontId="24" fillId="31" borderId="18" xfId="88" applyFont="1" applyFill="1" applyBorder="1" applyAlignment="1">
      <alignment wrapText="1"/>
    </xf>
    <xf numFmtId="3" fontId="24" fillId="0" borderId="23" xfId="89" applyNumberFormat="1" applyFont="1" applyBorder="1"/>
    <xf numFmtId="0" fontId="24" fillId="0" borderId="24" xfId="89" applyFont="1" applyBorder="1"/>
    <xf numFmtId="0" fontId="24" fillId="31" borderId="25" xfId="88" applyFont="1" applyFill="1" applyBorder="1" applyAlignment="1">
      <alignment wrapText="1"/>
    </xf>
    <xf numFmtId="0" fontId="24" fillId="0" borderId="19" xfId="89" applyFont="1" applyBorder="1"/>
    <xf numFmtId="3" fontId="24" fillId="0" borderId="20" xfId="89" applyNumberFormat="1" applyFont="1" applyBorder="1"/>
    <xf numFmtId="0" fontId="30" fillId="0" borderId="10" xfId="89" applyFont="1" applyBorder="1" applyAlignment="1">
      <alignment horizontal="left" wrapText="1"/>
    </xf>
    <xf numFmtId="0" fontId="30" fillId="30" borderId="19" xfId="89" applyFont="1" applyFill="1" applyBorder="1" applyAlignment="1">
      <alignment horizontal="left" wrapText="1"/>
    </xf>
    <xf numFmtId="3" fontId="30" fillId="30" borderId="16" xfId="89" applyNumberFormat="1" applyFont="1" applyFill="1" applyBorder="1" applyAlignment="1">
      <alignment horizontal="right" wrapText="1"/>
    </xf>
    <xf numFmtId="3" fontId="30" fillId="30" borderId="19" xfId="89" applyNumberFormat="1" applyFont="1" applyFill="1" applyBorder="1" applyAlignment="1">
      <alignment horizontal="right" wrapText="1"/>
    </xf>
    <xf numFmtId="3" fontId="30" fillId="30" borderId="20" xfId="89" applyNumberFormat="1" applyFont="1" applyFill="1" applyBorder="1" applyAlignment="1">
      <alignment horizontal="right" wrapText="1"/>
    </xf>
    <xf numFmtId="0" fontId="30" fillId="30" borderId="14" xfId="89" applyFont="1" applyFill="1" applyBorder="1" applyAlignment="1">
      <alignment horizontal="left" wrapText="1"/>
    </xf>
    <xf numFmtId="0" fontId="30" fillId="0" borderId="19" xfId="89" applyFont="1" applyBorder="1"/>
    <xf numFmtId="0" fontId="30" fillId="0" borderId="20" xfId="89" applyFont="1" applyBorder="1"/>
    <xf numFmtId="0" fontId="28" fillId="0" borderId="0" xfId="89" applyFont="1" applyBorder="1"/>
    <xf numFmtId="0" fontId="28" fillId="0" borderId="0" xfId="89" applyFont="1"/>
    <xf numFmtId="0" fontId="28" fillId="30" borderId="0" xfId="89" applyFont="1" applyFill="1" applyBorder="1"/>
    <xf numFmtId="0" fontId="28" fillId="30" borderId="0" xfId="89" applyFont="1" applyFill="1"/>
    <xf numFmtId="0" fontId="24" fillId="30" borderId="19" xfId="89" applyFont="1" applyFill="1" applyBorder="1"/>
    <xf numFmtId="0" fontId="24" fillId="30" borderId="20" xfId="89" applyFont="1" applyFill="1" applyBorder="1"/>
    <xf numFmtId="0" fontId="14" fillId="0" borderId="0" xfId="89" applyFont="1" applyBorder="1"/>
    <xf numFmtId="0" fontId="24" fillId="0" borderId="10" xfId="89" applyFont="1" applyBorder="1" applyAlignment="1">
      <alignment horizontal="left" wrapText="1"/>
    </xf>
    <xf numFmtId="0" fontId="30" fillId="30" borderId="16" xfId="89" applyFont="1" applyFill="1" applyBorder="1" applyAlignment="1">
      <alignment horizontal="left" wrapText="1"/>
    </xf>
    <xf numFmtId="0" fontId="32" fillId="0" borderId="10" xfId="89" applyFont="1" applyBorder="1" applyAlignment="1">
      <alignment wrapText="1"/>
    </xf>
    <xf numFmtId="0" fontId="31" fillId="0" borderId="10" xfId="89" applyFont="1" applyBorder="1"/>
    <xf numFmtId="0" fontId="31" fillId="0" borderId="23" xfId="89" applyFont="1" applyBorder="1"/>
    <xf numFmtId="0" fontId="14" fillId="0" borderId="20" xfId="89" applyFont="1" applyBorder="1" applyAlignment="1">
      <alignment wrapText="1"/>
    </xf>
    <xf numFmtId="3" fontId="31" fillId="0" borderId="26" xfId="89" applyNumberFormat="1" applyFont="1" applyBorder="1"/>
    <xf numFmtId="0" fontId="31" fillId="0" borderId="20" xfId="89" applyFont="1" applyBorder="1"/>
    <xf numFmtId="3" fontId="31" fillId="0" borderId="27" xfId="89" applyNumberFormat="1" applyFont="1" applyBorder="1"/>
    <xf numFmtId="0" fontId="14" fillId="0" borderId="0" xfId="89" applyAlignment="1">
      <alignment wrapText="1"/>
    </xf>
    <xf numFmtId="0" fontId="30" fillId="0" borderId="28" xfId="87" applyFont="1" applyFill="1" applyBorder="1" applyAlignment="1">
      <alignment horizontal="left" vertical="center" wrapText="1" indent="1"/>
    </xf>
    <xf numFmtId="0" fontId="24" fillId="0" borderId="29" xfId="0" applyFont="1" applyBorder="1" applyAlignment="1">
      <alignment horizontal="left" wrapText="1" indent="5"/>
    </xf>
    <xf numFmtId="0" fontId="30" fillId="0" borderId="30" xfId="89" applyFont="1" applyFill="1" applyBorder="1" applyAlignment="1">
      <alignment horizontal="center" vertical="center" wrapText="1"/>
    </xf>
    <xf numFmtId="0" fontId="30" fillId="0" borderId="31" xfId="89" applyFont="1" applyFill="1" applyBorder="1" applyAlignment="1">
      <alignment horizontal="center" vertical="center" wrapText="1"/>
    </xf>
    <xf numFmtId="0" fontId="30" fillId="0" borderId="32" xfId="89" applyFont="1" applyFill="1" applyBorder="1" applyAlignment="1">
      <alignment horizontal="center" vertical="center" wrapText="1"/>
    </xf>
    <xf numFmtId="3" fontId="30" fillId="0" borderId="28" xfId="70" applyNumberFormat="1" applyFont="1" applyBorder="1" applyAlignment="1">
      <alignment wrapText="1"/>
    </xf>
    <xf numFmtId="3" fontId="30" fillId="0" borderId="33" xfId="70" applyNumberFormat="1" applyFont="1" applyBorder="1" applyAlignment="1">
      <alignment wrapText="1"/>
    </xf>
    <xf numFmtId="3" fontId="30" fillId="0" borderId="34" xfId="70" applyNumberFormat="1" applyFont="1" applyBorder="1" applyAlignment="1">
      <alignment wrapText="1"/>
    </xf>
    <xf numFmtId="3" fontId="24" fillId="0" borderId="29" xfId="70" applyNumberFormat="1" applyFont="1" applyFill="1" applyBorder="1" applyAlignment="1">
      <alignment wrapText="1"/>
    </xf>
    <xf numFmtId="3" fontId="30" fillId="0" borderId="30" xfId="70" applyNumberFormat="1" applyFont="1" applyBorder="1" applyAlignment="1">
      <alignment wrapText="1"/>
    </xf>
    <xf numFmtId="3" fontId="30" fillId="0" borderId="31" xfId="70" applyNumberFormat="1" applyFont="1" applyBorder="1" applyAlignment="1">
      <alignment wrapText="1"/>
    </xf>
    <xf numFmtId="3" fontId="30" fillId="0" borderId="32" xfId="70" applyNumberFormat="1" applyFont="1" applyBorder="1" applyAlignment="1">
      <alignment wrapText="1"/>
    </xf>
    <xf numFmtId="0" fontId="24" fillId="0" borderId="0" xfId="72" applyFont="1"/>
    <xf numFmtId="3" fontId="30" fillId="0" borderId="35" xfId="69" applyNumberFormat="1" applyFont="1" applyBorder="1" applyAlignment="1">
      <alignment wrapText="1"/>
    </xf>
    <xf numFmtId="3" fontId="24" fillId="31" borderId="36" xfId="87" applyNumberFormat="1" applyFont="1" applyFill="1" applyBorder="1" applyAlignment="1">
      <alignment horizontal="right" vertical="center" wrapText="1"/>
    </xf>
    <xf numFmtId="3" fontId="24" fillId="31" borderId="37" xfId="87" applyNumberFormat="1" applyFont="1" applyFill="1" applyBorder="1" applyAlignment="1">
      <alignment horizontal="right" vertical="center" wrapText="1"/>
    </xf>
    <xf numFmtId="3" fontId="24" fillId="0" borderId="29" xfId="69" applyNumberFormat="1" applyFont="1" applyBorder="1" applyAlignment="1">
      <alignment wrapText="1"/>
    </xf>
    <xf numFmtId="3" fontId="24" fillId="31" borderId="20" xfId="87" applyNumberFormat="1" applyFont="1" applyFill="1" applyBorder="1" applyAlignment="1">
      <alignment horizontal="right" vertical="center" wrapText="1"/>
    </xf>
    <xf numFmtId="3" fontId="24" fillId="31" borderId="38" xfId="87" applyNumberFormat="1" applyFont="1" applyFill="1" applyBorder="1" applyAlignment="1">
      <alignment horizontal="right" vertical="center" wrapText="1"/>
    </xf>
    <xf numFmtId="0" fontId="24" fillId="0" borderId="29" xfId="0" applyFont="1" applyFill="1" applyBorder="1" applyAlignment="1">
      <alignment horizontal="left" wrapText="1"/>
    </xf>
    <xf numFmtId="0" fontId="30" fillId="0" borderId="0" xfId="72" applyFont="1"/>
    <xf numFmtId="0" fontId="24" fillId="0" borderId="29" xfId="0" applyFont="1" applyBorder="1" applyAlignment="1">
      <alignment horizontal="left" wrapText="1"/>
    </xf>
    <xf numFmtId="0" fontId="24" fillId="0" borderId="39" xfId="0" applyFont="1" applyBorder="1" applyAlignment="1">
      <alignment horizontal="left" wrapText="1"/>
    </xf>
    <xf numFmtId="3" fontId="24" fillId="31" borderId="24" xfId="87" applyNumberFormat="1" applyFont="1" applyFill="1" applyBorder="1" applyAlignment="1">
      <alignment horizontal="right" vertical="center" wrapText="1"/>
    </xf>
    <xf numFmtId="3" fontId="30" fillId="0" borderId="30" xfId="69" applyNumberFormat="1" applyFont="1" applyBorder="1" applyAlignment="1">
      <alignment wrapText="1"/>
    </xf>
    <xf numFmtId="3" fontId="30" fillId="0" borderId="31" xfId="69" applyNumberFormat="1" applyFont="1" applyBorder="1" applyAlignment="1"/>
    <xf numFmtId="3" fontId="30" fillId="0" borderId="32" xfId="69" applyNumberFormat="1" applyFont="1" applyBorder="1" applyAlignment="1"/>
    <xf numFmtId="3" fontId="30" fillId="0" borderId="29" xfId="69" applyNumberFormat="1" applyFont="1" applyBorder="1" applyAlignment="1">
      <alignment wrapText="1"/>
    </xf>
    <xf numFmtId="3" fontId="24" fillId="0" borderId="20" xfId="69" applyNumberFormat="1" applyFont="1" applyFill="1" applyBorder="1" applyAlignment="1">
      <alignment horizontal="right"/>
    </xf>
    <xf numFmtId="3" fontId="24" fillId="0" borderId="38" xfId="69" applyNumberFormat="1" applyFont="1" applyFill="1" applyBorder="1" applyAlignment="1">
      <alignment horizontal="right"/>
    </xf>
    <xf numFmtId="3" fontId="24" fillId="0" borderId="20" xfId="69" applyNumberFormat="1" applyFont="1" applyFill="1" applyBorder="1" applyAlignment="1"/>
    <xf numFmtId="3" fontId="24" fillId="0" borderId="38" xfId="69" applyNumberFormat="1" applyFont="1" applyFill="1" applyBorder="1" applyAlignment="1"/>
    <xf numFmtId="3" fontId="30" fillId="0" borderId="31" xfId="69" applyNumberFormat="1" applyFont="1" applyFill="1" applyBorder="1"/>
    <xf numFmtId="3" fontId="30" fillId="0" borderId="32" xfId="69" applyNumberFormat="1" applyFont="1" applyFill="1" applyBorder="1"/>
    <xf numFmtId="3" fontId="24" fillId="0" borderId="31" xfId="69" applyNumberFormat="1" applyFont="1" applyFill="1" applyBorder="1" applyAlignment="1"/>
    <xf numFmtId="3" fontId="30" fillId="0" borderId="31" xfId="69" applyNumberFormat="1" applyFont="1" applyFill="1" applyBorder="1" applyAlignment="1"/>
    <xf numFmtId="3" fontId="30" fillId="0" borderId="32" xfId="69" applyNumberFormat="1" applyFont="1" applyFill="1" applyBorder="1" applyAlignment="1"/>
    <xf numFmtId="3" fontId="24" fillId="0" borderId="35" xfId="69" applyNumberFormat="1" applyFont="1" applyBorder="1" applyAlignment="1">
      <alignment wrapText="1"/>
    </xf>
    <xf numFmtId="3" fontId="24" fillId="0" borderId="36" xfId="69" applyNumberFormat="1" applyFont="1" applyFill="1" applyBorder="1" applyAlignment="1"/>
    <xf numFmtId="3" fontId="24" fillId="0" borderId="37" xfId="69" applyNumberFormat="1" applyFont="1" applyFill="1" applyBorder="1" applyAlignment="1"/>
    <xf numFmtId="3" fontId="30" fillId="0" borderId="39" xfId="69" applyNumberFormat="1" applyFont="1" applyBorder="1" applyAlignment="1">
      <alignment wrapText="1"/>
    </xf>
    <xf numFmtId="3" fontId="24" fillId="0" borderId="24" xfId="69" applyNumberFormat="1" applyFont="1" applyFill="1" applyBorder="1" applyAlignment="1"/>
    <xf numFmtId="3" fontId="24" fillId="0" borderId="40" xfId="69" applyNumberFormat="1" applyFont="1" applyFill="1" applyBorder="1" applyAlignment="1"/>
    <xf numFmtId="3" fontId="30" fillId="0" borderId="30" xfId="69" applyNumberFormat="1" applyFont="1" applyBorder="1" applyAlignment="1"/>
    <xf numFmtId="0" fontId="24" fillId="0" borderId="35" xfId="0" applyFont="1" applyFill="1" applyBorder="1" applyAlignment="1">
      <alignment horizontal="left" wrapText="1"/>
    </xf>
    <xf numFmtId="3" fontId="30" fillId="0" borderId="0" xfId="72" applyNumberFormat="1" applyFont="1" applyBorder="1"/>
    <xf numFmtId="0" fontId="24" fillId="0" borderId="0" xfId="72" applyFont="1" applyBorder="1"/>
    <xf numFmtId="0" fontId="30" fillId="0" borderId="0" xfId="72" applyFont="1" applyBorder="1"/>
    <xf numFmtId="0" fontId="30" fillId="0" borderId="0" xfId="89" applyFont="1" applyBorder="1" applyAlignment="1">
      <alignment horizontal="center" vertical="center" wrapText="1"/>
    </xf>
    <xf numFmtId="3" fontId="30" fillId="0" borderId="0" xfId="81" applyNumberFormat="1" applyFont="1" applyBorder="1"/>
    <xf numFmtId="3" fontId="24" fillId="0" borderId="0" xfId="72" applyNumberFormat="1" applyFont="1"/>
    <xf numFmtId="168" fontId="30" fillId="0" borderId="31" xfId="53" applyNumberFormat="1" applyFont="1" applyFill="1" applyBorder="1" applyAlignment="1">
      <alignment horizontal="center" vertical="center" wrapText="1"/>
    </xf>
    <xf numFmtId="168" fontId="30" fillId="0" borderId="32" xfId="53" applyNumberFormat="1" applyFont="1" applyFill="1" applyBorder="1" applyAlignment="1">
      <alignment horizontal="center" vertical="center" wrapText="1"/>
    </xf>
    <xf numFmtId="0" fontId="30" fillId="0" borderId="0" xfId="85" applyFont="1" applyFill="1" applyAlignment="1">
      <alignment horizontal="center" vertical="center" wrapText="1"/>
    </xf>
    <xf numFmtId="0" fontId="30" fillId="0" borderId="35" xfId="84" applyFont="1" applyFill="1" applyBorder="1" applyAlignment="1">
      <alignment horizontal="left" vertical="center" wrapText="1"/>
    </xf>
    <xf numFmtId="168" fontId="30" fillId="0" borderId="38" xfId="53" applyNumberFormat="1" applyFont="1" applyFill="1" applyBorder="1" applyAlignment="1">
      <alignment horizontal="center" vertical="center" wrapText="1"/>
    </xf>
    <xf numFmtId="168" fontId="30" fillId="0" borderId="20" xfId="53" applyNumberFormat="1" applyFont="1" applyFill="1" applyBorder="1" applyAlignment="1">
      <alignment horizontal="center" vertical="center" wrapText="1"/>
    </xf>
    <xf numFmtId="3" fontId="30" fillId="0" borderId="20" xfId="87" applyNumberFormat="1" applyFont="1" applyFill="1" applyBorder="1" applyAlignment="1">
      <alignment horizontal="right" vertical="center" wrapText="1"/>
    </xf>
    <xf numFmtId="0" fontId="30" fillId="0" borderId="29" xfId="84" applyFont="1" applyFill="1" applyBorder="1" applyAlignment="1">
      <alignment horizontal="left" vertical="center" wrapText="1"/>
    </xf>
    <xf numFmtId="0" fontId="30" fillId="0" borderId="30" xfId="84" applyFont="1" applyFill="1" applyBorder="1" applyAlignment="1">
      <alignment horizontal="left" vertical="center" wrapText="1"/>
    </xf>
    <xf numFmtId="3" fontId="24" fillId="0" borderId="0" xfId="89" applyNumberFormat="1" applyFont="1" applyFill="1" applyBorder="1" applyAlignment="1">
      <alignment horizontal="right" vertical="center" wrapText="1"/>
    </xf>
    <xf numFmtId="3" fontId="24" fillId="0" borderId="0" xfId="75" applyNumberFormat="1" applyFont="1" applyFill="1" applyBorder="1"/>
    <xf numFmtId="0" fontId="30" fillId="0" borderId="0" xfId="89" applyFont="1" applyFill="1" applyBorder="1" applyAlignment="1">
      <alignment horizontal="center" vertical="center" wrapText="1"/>
    </xf>
    <xf numFmtId="168" fontId="30" fillId="0" borderId="0" xfId="53" applyNumberFormat="1" applyFont="1" applyFill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3" fontId="30" fillId="0" borderId="0" xfId="85" applyNumberFormat="1" applyFont="1" applyFill="1" applyBorder="1"/>
    <xf numFmtId="3" fontId="30" fillId="0" borderId="24" xfId="69" applyNumberFormat="1" applyFont="1" applyBorder="1" applyAlignment="1"/>
    <xf numFmtId="3" fontId="30" fillId="0" borderId="40" xfId="69" applyNumberFormat="1" applyFont="1" applyBorder="1" applyAlignment="1"/>
    <xf numFmtId="3" fontId="30" fillId="0" borderId="31" xfId="69" applyNumberFormat="1" applyFont="1" applyBorder="1" applyAlignment="1">
      <alignment wrapText="1"/>
    </xf>
    <xf numFmtId="3" fontId="30" fillId="0" borderId="32" xfId="69" applyNumberFormat="1" applyFont="1" applyBorder="1" applyAlignment="1">
      <alignment wrapText="1"/>
    </xf>
    <xf numFmtId="0" fontId="24" fillId="0" borderId="0" xfId="85" applyFont="1" applyFill="1" applyAlignment="1">
      <alignment wrapText="1"/>
    </xf>
    <xf numFmtId="0" fontId="24" fillId="0" borderId="0" xfId="85" applyFont="1" applyFill="1"/>
    <xf numFmtId="168" fontId="24" fillId="0" borderId="0" xfId="53" applyNumberFormat="1" applyFont="1" applyFill="1"/>
    <xf numFmtId="0" fontId="30" fillId="0" borderId="31" xfId="89" applyFont="1" applyBorder="1" applyAlignment="1">
      <alignment horizontal="center" vertical="center" wrapText="1"/>
    </xf>
    <xf numFmtId="3" fontId="30" fillId="0" borderId="36" xfId="87" applyNumberFormat="1" applyFont="1" applyFill="1" applyBorder="1" applyAlignment="1">
      <alignment vertical="center" wrapText="1"/>
    </xf>
    <xf numFmtId="0" fontId="24" fillId="0" borderId="29" xfId="84" applyFont="1" applyFill="1" applyBorder="1" applyAlignment="1">
      <alignment wrapText="1"/>
    </xf>
    <xf numFmtId="3" fontId="24" fillId="0" borderId="20" xfId="0" applyNumberFormat="1" applyFont="1" applyFill="1" applyBorder="1"/>
    <xf numFmtId="0" fontId="24" fillId="0" borderId="29" xfId="84" applyFont="1" applyBorder="1" applyAlignment="1">
      <alignment wrapText="1"/>
    </xf>
    <xf numFmtId="0" fontId="24" fillId="0" borderId="29" xfId="0" applyFont="1" applyFill="1" applyBorder="1" applyAlignment="1">
      <alignment wrapText="1"/>
    </xf>
    <xf numFmtId="168" fontId="24" fillId="0" borderId="20" xfId="53" applyNumberFormat="1" applyFont="1" applyFill="1" applyBorder="1"/>
    <xf numFmtId="168" fontId="24" fillId="0" borderId="38" xfId="53" applyNumberFormat="1" applyFont="1" applyFill="1" applyBorder="1"/>
    <xf numFmtId="3" fontId="30" fillId="0" borderId="20" xfId="87" applyNumberFormat="1" applyFont="1" applyFill="1" applyBorder="1" applyAlignment="1">
      <alignment vertical="center" wrapText="1"/>
    </xf>
    <xf numFmtId="0" fontId="33" fillId="32" borderId="29" xfId="84" applyFont="1" applyFill="1" applyBorder="1"/>
    <xf numFmtId="3" fontId="33" fillId="32" borderId="20" xfId="0" applyNumberFormat="1" applyFont="1" applyFill="1" applyBorder="1"/>
    <xf numFmtId="168" fontId="24" fillId="32" borderId="38" xfId="53" applyNumberFormat="1" applyFont="1" applyFill="1" applyBorder="1"/>
    <xf numFmtId="0" fontId="24" fillId="32" borderId="0" xfId="85" applyFont="1" applyFill="1"/>
    <xf numFmtId="0" fontId="24" fillId="0" borderId="29" xfId="84" applyFont="1" applyFill="1" applyBorder="1"/>
    <xf numFmtId="3" fontId="24" fillId="0" borderId="0" xfId="85" applyNumberFormat="1" applyFont="1" applyFill="1"/>
    <xf numFmtId="0" fontId="24" fillId="32" borderId="29" xfId="0" applyFont="1" applyFill="1" applyBorder="1" applyAlignment="1">
      <alignment wrapText="1"/>
    </xf>
    <xf numFmtId="3" fontId="24" fillId="32" borderId="20" xfId="0" applyNumberFormat="1" applyFont="1" applyFill="1" applyBorder="1"/>
    <xf numFmtId="168" fontId="24" fillId="32" borderId="20" xfId="53" applyNumberFormat="1" applyFont="1" applyFill="1" applyBorder="1"/>
    <xf numFmtId="0" fontId="24" fillId="0" borderId="39" xfId="0" applyFont="1" applyFill="1" applyBorder="1" applyAlignment="1">
      <alignment wrapText="1"/>
    </xf>
    <xf numFmtId="3" fontId="24" fillId="0" borderId="24" xfId="0" applyNumberFormat="1" applyFont="1" applyFill="1" applyBorder="1"/>
    <xf numFmtId="168" fontId="24" fillId="0" borderId="24" xfId="53" applyNumberFormat="1" applyFont="1" applyFill="1" applyBorder="1"/>
    <xf numFmtId="168" fontId="24" fillId="0" borderId="40" xfId="53" applyNumberFormat="1" applyFont="1" applyFill="1" applyBorder="1"/>
    <xf numFmtId="3" fontId="30" fillId="0" borderId="31" xfId="87" applyNumberFormat="1" applyFont="1" applyFill="1" applyBorder="1" applyAlignment="1">
      <alignment vertical="center" wrapText="1"/>
    </xf>
    <xf numFmtId="3" fontId="30" fillId="0" borderId="32" xfId="87" applyNumberFormat="1" applyFont="1" applyFill="1" applyBorder="1" applyAlignment="1">
      <alignment vertical="center" wrapText="1"/>
    </xf>
    <xf numFmtId="0" fontId="24" fillId="0" borderId="0" xfId="85" applyFont="1" applyFill="1" applyBorder="1" applyAlignment="1">
      <alignment wrapText="1"/>
    </xf>
    <xf numFmtId="0" fontId="24" fillId="0" borderId="0" xfId="85" applyFont="1" applyBorder="1" applyAlignment="1">
      <alignment wrapText="1"/>
    </xf>
    <xf numFmtId="0" fontId="24" fillId="0" borderId="0" xfId="75" applyFont="1" applyFill="1" applyBorder="1" applyAlignment="1">
      <alignment wrapText="1"/>
    </xf>
    <xf numFmtId="0" fontId="24" fillId="0" borderId="0" xfId="75" applyFont="1" applyFill="1" applyBorder="1" applyAlignment="1">
      <alignment horizontal="left" vertical="center" wrapText="1"/>
    </xf>
    <xf numFmtId="168" fontId="30" fillId="0" borderId="0" xfId="53" applyNumberFormat="1" applyFont="1" applyFill="1"/>
    <xf numFmtId="0" fontId="30" fillId="0" borderId="0" xfId="85" applyFont="1" applyFill="1"/>
    <xf numFmtId="0" fontId="24" fillId="0" borderId="41" xfId="85" applyFont="1" applyFill="1" applyBorder="1" applyAlignment="1">
      <alignment wrapText="1"/>
    </xf>
    <xf numFmtId="0" fontId="30" fillId="0" borderId="42" xfId="89" applyFont="1" applyFill="1" applyBorder="1" applyAlignment="1">
      <alignment horizontal="center" vertical="center" wrapText="1"/>
    </xf>
    <xf numFmtId="0" fontId="30" fillId="0" borderId="43" xfId="89" applyFont="1" applyFill="1" applyBorder="1" applyAlignment="1">
      <alignment horizontal="center" vertical="center" wrapText="1"/>
    </xf>
    <xf numFmtId="0" fontId="30" fillId="0" borderId="18" xfId="87" applyFont="1" applyFill="1" applyBorder="1" applyAlignment="1">
      <alignment horizontal="left" vertical="center" wrapText="1" indent="2"/>
    </xf>
    <xf numFmtId="0" fontId="30" fillId="0" borderId="44" xfId="87" applyFont="1" applyFill="1" applyBorder="1" applyAlignment="1">
      <alignment horizontal="left" vertical="center" wrapText="1" indent="1"/>
    </xf>
    <xf numFmtId="0" fontId="24" fillId="0" borderId="45" xfId="87" applyFont="1" applyFill="1" applyBorder="1" applyAlignment="1">
      <alignment horizontal="left" vertical="center" wrapText="1" indent="2"/>
    </xf>
    <xf numFmtId="0" fontId="24" fillId="0" borderId="0" xfId="75" applyFont="1"/>
    <xf numFmtId="3" fontId="24" fillId="0" borderId="20" xfId="75" applyNumberFormat="1" applyFont="1" applyBorder="1"/>
    <xf numFmtId="3" fontId="24" fillId="0" borderId="38" xfId="75" applyNumberFormat="1" applyFont="1" applyBorder="1"/>
    <xf numFmtId="3" fontId="30" fillId="0" borderId="20" xfId="75" applyNumberFormat="1" applyFont="1" applyBorder="1"/>
    <xf numFmtId="3" fontId="30" fillId="0" borderId="38" xfId="75" applyNumberFormat="1" applyFont="1" applyBorder="1"/>
    <xf numFmtId="3" fontId="24" fillId="0" borderId="0" xfId="75" applyNumberFormat="1" applyFont="1"/>
    <xf numFmtId="3" fontId="24" fillId="0" borderId="46" xfId="75" applyNumberFormat="1" applyFont="1" applyBorder="1"/>
    <xf numFmtId="3" fontId="24" fillId="0" borderId="47" xfId="75" applyNumberFormat="1" applyFont="1" applyBorder="1"/>
    <xf numFmtId="3" fontId="24" fillId="0" borderId="33" xfId="75" applyNumberFormat="1" applyFont="1" applyBorder="1"/>
    <xf numFmtId="3" fontId="24" fillId="0" borderId="34" xfId="75" applyNumberFormat="1" applyFont="1" applyBorder="1"/>
    <xf numFmtId="3" fontId="30" fillId="0" borderId="31" xfId="75" applyNumberFormat="1" applyFont="1" applyBorder="1"/>
    <xf numFmtId="3" fontId="30" fillId="0" borderId="32" xfId="75" applyNumberFormat="1" applyFont="1" applyBorder="1"/>
    <xf numFmtId="3" fontId="24" fillId="31" borderId="20" xfId="75" applyNumberFormat="1" applyFont="1" applyFill="1" applyBorder="1"/>
    <xf numFmtId="3" fontId="24" fillId="31" borderId="38" xfId="75" applyNumberFormat="1" applyFont="1" applyFill="1" applyBorder="1"/>
    <xf numFmtId="0" fontId="24" fillId="0" borderId="29" xfId="0" applyFont="1" applyFill="1" applyBorder="1" applyAlignment="1">
      <alignment horizontal="left" wrapText="1" indent="5"/>
    </xf>
    <xf numFmtId="3" fontId="24" fillId="0" borderId="20" xfId="75" applyNumberFormat="1" applyFont="1" applyFill="1" applyBorder="1"/>
    <xf numFmtId="0" fontId="24" fillId="0" borderId="0" xfId="75" applyFont="1" applyFill="1"/>
    <xf numFmtId="0" fontId="24" fillId="0" borderId="0" xfId="0" applyFont="1"/>
    <xf numFmtId="0" fontId="30" fillId="0" borderId="29" xfId="76" applyFont="1" applyFill="1" applyBorder="1"/>
    <xf numFmtId="0" fontId="30" fillId="0" borderId="20" xfId="76" applyFont="1" applyFill="1" applyBorder="1"/>
    <xf numFmtId="3" fontId="30" fillId="0" borderId="20" xfId="76" applyNumberFormat="1" applyFont="1" applyFill="1" applyBorder="1"/>
    <xf numFmtId="3" fontId="30" fillId="30" borderId="20" xfId="76" applyNumberFormat="1" applyFont="1" applyFill="1" applyBorder="1"/>
    <xf numFmtId="3" fontId="30" fillId="30" borderId="20" xfId="76" applyNumberFormat="1" applyFont="1" applyFill="1" applyBorder="1" applyAlignment="1">
      <alignment horizontal="right"/>
    </xf>
    <xf numFmtId="4" fontId="30" fillId="0" borderId="20" xfId="76" applyNumberFormat="1" applyFont="1" applyFill="1" applyBorder="1"/>
    <xf numFmtId="3" fontId="30" fillId="0" borderId="20" xfId="0" applyNumberFormat="1" applyFont="1" applyBorder="1" applyAlignment="1">
      <alignment horizontal="right"/>
    </xf>
    <xf numFmtId="0" fontId="24" fillId="0" borderId="29" xfId="76" applyFont="1" applyFill="1" applyBorder="1"/>
    <xf numFmtId="4" fontId="24" fillId="0" borderId="20" xfId="76" applyNumberFormat="1" applyFont="1" applyFill="1" applyBorder="1"/>
    <xf numFmtId="3" fontId="24" fillId="30" borderId="20" xfId="76" applyNumberFormat="1" applyFont="1" applyFill="1" applyBorder="1"/>
    <xf numFmtId="3" fontId="24" fillId="0" borderId="20" xfId="0" applyNumberFormat="1" applyFont="1" applyBorder="1" applyAlignment="1">
      <alignment horizontal="right"/>
    </xf>
    <xf numFmtId="3" fontId="24" fillId="30" borderId="20" xfId="76" applyNumberFormat="1" applyFont="1" applyFill="1" applyBorder="1" applyAlignment="1">
      <alignment horizontal="right"/>
    </xf>
    <xf numFmtId="0" fontId="30" fillId="0" borderId="29" xfId="78" applyFont="1" applyFill="1" applyBorder="1"/>
    <xf numFmtId="0" fontId="24" fillId="0" borderId="29" xfId="78" applyFont="1" applyFill="1" applyBorder="1"/>
    <xf numFmtId="0" fontId="24" fillId="0" borderId="38" xfId="0" applyFont="1" applyBorder="1"/>
    <xf numFmtId="0" fontId="24" fillId="0" borderId="20" xfId="76" applyFont="1" applyFill="1" applyBorder="1"/>
    <xf numFmtId="3" fontId="24" fillId="0" borderId="20" xfId="76" applyNumberFormat="1" applyFont="1" applyFill="1" applyBorder="1"/>
    <xf numFmtId="3" fontId="24" fillId="0" borderId="20" xfId="76" applyNumberFormat="1" applyFont="1" applyBorder="1"/>
    <xf numFmtId="166" fontId="30" fillId="30" borderId="20" xfId="76" applyNumberFormat="1" applyFont="1" applyFill="1" applyBorder="1"/>
    <xf numFmtId="0" fontId="30" fillId="0" borderId="29" xfId="0" applyFont="1" applyBorder="1"/>
    <xf numFmtId="3" fontId="30" fillId="0" borderId="20" xfId="76" applyNumberFormat="1" applyFont="1" applyBorder="1"/>
    <xf numFmtId="0" fontId="24" fillId="0" borderId="29" xfId="0" applyFont="1" applyBorder="1"/>
    <xf numFmtId="3" fontId="24" fillId="0" borderId="20" xfId="0" applyNumberFormat="1" applyFont="1" applyBorder="1"/>
    <xf numFmtId="3" fontId="30" fillId="0" borderId="20" xfId="0" applyNumberFormat="1" applyFont="1" applyFill="1" applyBorder="1" applyAlignment="1">
      <alignment horizontal="right"/>
    </xf>
    <xf numFmtId="0" fontId="24" fillId="0" borderId="0" xfId="0" applyFont="1" applyFill="1"/>
    <xf numFmtId="0" fontId="33" fillId="0" borderId="29" xfId="76" applyFont="1" applyFill="1" applyBorder="1"/>
    <xf numFmtId="165" fontId="24" fillId="0" borderId="20" xfId="76" applyNumberFormat="1" applyFont="1" applyFill="1" applyBorder="1"/>
    <xf numFmtId="0" fontId="24" fillId="0" borderId="29" xfId="76" applyFont="1" applyFill="1" applyBorder="1" applyAlignment="1">
      <alignment wrapText="1"/>
    </xf>
    <xf numFmtId="0" fontId="33" fillId="0" borderId="20" xfId="76" applyFont="1" applyFill="1" applyBorder="1"/>
    <xf numFmtId="3" fontId="33" fillId="0" borderId="20" xfId="76" applyNumberFormat="1" applyFont="1" applyFill="1" applyBorder="1"/>
    <xf numFmtId="3" fontId="33" fillId="30" borderId="20" xfId="76" applyNumberFormat="1" applyFont="1" applyFill="1" applyBorder="1"/>
    <xf numFmtId="2" fontId="30" fillId="0" borderId="20" xfId="76" applyNumberFormat="1" applyFont="1" applyFill="1" applyBorder="1"/>
    <xf numFmtId="1" fontId="24" fillId="0" borderId="20" xfId="76" applyNumberFormat="1" applyFont="1" applyFill="1" applyBorder="1"/>
    <xf numFmtId="0" fontId="24" fillId="0" borderId="20" xfId="76" applyFont="1" applyBorder="1"/>
    <xf numFmtId="3" fontId="30" fillId="0" borderId="29" xfId="76" applyNumberFormat="1" applyFont="1" applyFill="1" applyBorder="1"/>
    <xf numFmtId="0" fontId="30" fillId="0" borderId="20" xfId="76" applyFont="1" applyBorder="1"/>
    <xf numFmtId="3" fontId="24" fillId="0" borderId="29" xfId="76" applyNumberFormat="1" applyFont="1" applyFill="1" applyBorder="1"/>
    <xf numFmtId="168" fontId="24" fillId="0" borderId="38" xfId="53" applyNumberFormat="1" applyFont="1" applyBorder="1"/>
    <xf numFmtId="0" fontId="24" fillId="0" borderId="39" xfId="0" applyFont="1" applyBorder="1"/>
    <xf numFmtId="3" fontId="24" fillId="0" borderId="48" xfId="76" applyNumberFormat="1" applyFont="1" applyFill="1" applyBorder="1"/>
    <xf numFmtId="3" fontId="24" fillId="30" borderId="48" xfId="76" applyNumberFormat="1" applyFont="1" applyFill="1" applyBorder="1"/>
    <xf numFmtId="3" fontId="24" fillId="0" borderId="48" xfId="76" applyNumberFormat="1" applyFont="1" applyBorder="1"/>
    <xf numFmtId="0" fontId="30" fillId="0" borderId="0" xfId="0" applyFont="1"/>
    <xf numFmtId="3" fontId="24" fillId="0" borderId="0" xfId="0" applyNumberFormat="1" applyFont="1"/>
    <xf numFmtId="0" fontId="30" fillId="0" borderId="39" xfId="0" applyFont="1" applyFill="1" applyBorder="1" applyAlignment="1">
      <alignment wrapText="1"/>
    </xf>
    <xf numFmtId="3" fontId="30" fillId="30" borderId="38" xfId="76" applyNumberFormat="1" applyFont="1" applyFill="1" applyBorder="1" applyAlignment="1">
      <alignment horizontal="right"/>
    </xf>
    <xf numFmtId="3" fontId="30" fillId="0" borderId="38" xfId="0" applyNumberFormat="1" applyFont="1" applyBorder="1" applyAlignment="1">
      <alignment horizontal="right"/>
    </xf>
    <xf numFmtId="3" fontId="24" fillId="0" borderId="38" xfId="0" applyNumberFormat="1" applyFont="1" applyBorder="1" applyAlignment="1">
      <alignment horizontal="right"/>
    </xf>
    <xf numFmtId="3" fontId="24" fillId="30" borderId="38" xfId="76" applyNumberFormat="1" applyFont="1" applyFill="1" applyBorder="1" applyAlignment="1">
      <alignment horizontal="right"/>
    </xf>
    <xf numFmtId="3" fontId="24" fillId="0" borderId="38" xfId="76" applyNumberFormat="1" applyFont="1" applyBorder="1"/>
    <xf numFmtId="3" fontId="24" fillId="0" borderId="38" xfId="76" applyNumberFormat="1" applyFont="1" applyFill="1" applyBorder="1"/>
    <xf numFmtId="3" fontId="30" fillId="0" borderId="38" xfId="76" applyNumberFormat="1" applyFont="1" applyBorder="1"/>
    <xf numFmtId="3" fontId="24" fillId="0" borderId="38" xfId="0" applyNumberFormat="1" applyFont="1" applyBorder="1"/>
    <xf numFmtId="3" fontId="30" fillId="30" borderId="38" xfId="76" applyNumberFormat="1" applyFont="1" applyFill="1" applyBorder="1"/>
    <xf numFmtId="3" fontId="24" fillId="30" borderId="38" xfId="76" applyNumberFormat="1" applyFont="1" applyFill="1" applyBorder="1"/>
    <xf numFmtId="168" fontId="24" fillId="0" borderId="49" xfId="53" applyNumberFormat="1" applyFont="1" applyBorder="1"/>
    <xf numFmtId="168" fontId="30" fillId="0" borderId="38" xfId="53" applyNumberFormat="1" applyFont="1" applyBorder="1"/>
    <xf numFmtId="0" fontId="30" fillId="0" borderId="35" xfId="76" applyFont="1" applyFill="1" applyBorder="1"/>
    <xf numFmtId="0" fontId="30" fillId="0" borderId="36" xfId="76" applyFont="1" applyFill="1" applyBorder="1"/>
    <xf numFmtId="3" fontId="30" fillId="0" borderId="36" xfId="76" applyNumberFormat="1" applyFont="1" applyFill="1" applyBorder="1"/>
    <xf numFmtId="3" fontId="30" fillId="30" borderId="36" xfId="76" applyNumberFormat="1" applyFont="1" applyFill="1" applyBorder="1"/>
    <xf numFmtId="3" fontId="30" fillId="30" borderId="36" xfId="76" applyNumberFormat="1" applyFont="1" applyFill="1" applyBorder="1" applyAlignment="1">
      <alignment horizontal="right"/>
    </xf>
    <xf numFmtId="3" fontId="30" fillId="30" borderId="37" xfId="76" applyNumberFormat="1" applyFont="1" applyFill="1" applyBorder="1" applyAlignment="1">
      <alignment horizontal="right"/>
    </xf>
    <xf numFmtId="3" fontId="30" fillId="0" borderId="38" xfId="0" applyNumberFormat="1" applyFont="1" applyFill="1" applyBorder="1"/>
    <xf numFmtId="0" fontId="30" fillId="0" borderId="29" xfId="0" applyFont="1" applyFill="1" applyBorder="1" applyAlignment="1">
      <alignment wrapText="1"/>
    </xf>
    <xf numFmtId="0" fontId="24" fillId="0" borderId="39" xfId="0" applyFont="1" applyFill="1" applyBorder="1"/>
    <xf numFmtId="3" fontId="24" fillId="0" borderId="24" xfId="76" applyNumberFormat="1" applyFont="1" applyFill="1" applyBorder="1"/>
    <xf numFmtId="0" fontId="30" fillId="0" borderId="30" xfId="76" applyFont="1" applyFill="1" applyBorder="1"/>
    <xf numFmtId="0" fontId="24" fillId="0" borderId="31" xfId="76" applyFont="1" applyBorder="1"/>
    <xf numFmtId="3" fontId="30" fillId="0" borderId="31" xfId="76" applyNumberFormat="1" applyFont="1" applyBorder="1"/>
    <xf numFmtId="3" fontId="30" fillId="0" borderId="32" xfId="76" applyNumberFormat="1" applyFont="1" applyBorder="1"/>
    <xf numFmtId="0" fontId="24" fillId="0" borderId="23" xfId="89" applyFont="1" applyBorder="1"/>
    <xf numFmtId="3" fontId="24" fillId="0" borderId="50" xfId="89" applyNumberFormat="1" applyFont="1" applyBorder="1"/>
    <xf numFmtId="168" fontId="24" fillId="0" borderId="0" xfId="53" applyNumberFormat="1" applyFont="1" applyBorder="1"/>
    <xf numFmtId="0" fontId="24" fillId="0" borderId="0" xfId="89" applyFont="1" applyBorder="1"/>
    <xf numFmtId="0" fontId="24" fillId="0" borderId="41" xfId="89" applyFont="1" applyBorder="1"/>
    <xf numFmtId="3" fontId="24" fillId="0" borderId="0" xfId="89" applyNumberFormat="1" applyFont="1" applyBorder="1"/>
    <xf numFmtId="0" fontId="24" fillId="30" borderId="0" xfId="89" applyFont="1" applyFill="1" applyBorder="1"/>
    <xf numFmtId="0" fontId="30" fillId="30" borderId="30" xfId="89" applyFont="1" applyFill="1" applyBorder="1" applyAlignment="1">
      <alignment horizontal="center" vertical="center" wrapText="1"/>
    </xf>
    <xf numFmtId="3" fontId="30" fillId="0" borderId="51" xfId="89" applyNumberFormat="1" applyFont="1" applyBorder="1" applyAlignment="1">
      <alignment horizontal="center" vertical="center" wrapText="1"/>
    </xf>
    <xf numFmtId="168" fontId="30" fillId="0" borderId="51" xfId="53" applyNumberFormat="1" applyFont="1" applyBorder="1" applyAlignment="1">
      <alignment horizontal="center" vertical="center" wrapText="1"/>
    </xf>
    <xf numFmtId="168" fontId="30" fillId="0" borderId="32" xfId="53" applyNumberFormat="1" applyFont="1" applyBorder="1" applyAlignment="1">
      <alignment horizontal="center" vertical="center" wrapText="1"/>
    </xf>
    <xf numFmtId="0" fontId="30" fillId="30" borderId="0" xfId="89" applyFont="1" applyFill="1" applyBorder="1"/>
    <xf numFmtId="3" fontId="30" fillId="30" borderId="52" xfId="89" applyNumberFormat="1" applyFont="1" applyFill="1" applyBorder="1" applyAlignment="1">
      <alignment horizontal="right" vertical="center" wrapText="1"/>
    </xf>
    <xf numFmtId="168" fontId="30" fillId="30" borderId="38" xfId="53" applyNumberFormat="1" applyFont="1" applyFill="1" applyBorder="1" applyAlignment="1">
      <alignment vertical="center"/>
    </xf>
    <xf numFmtId="0" fontId="24" fillId="30" borderId="21" xfId="89" applyFont="1" applyFill="1" applyBorder="1" applyAlignment="1">
      <alignment wrapText="1"/>
    </xf>
    <xf numFmtId="168" fontId="33" fillId="30" borderId="0" xfId="89" applyNumberFormat="1" applyFont="1" applyFill="1" applyBorder="1"/>
    <xf numFmtId="0" fontId="33" fillId="30" borderId="0" xfId="89" applyFont="1" applyFill="1" applyBorder="1"/>
    <xf numFmtId="164" fontId="24" fillId="0" borderId="21" xfId="87" applyNumberFormat="1" applyFont="1" applyFill="1" applyBorder="1" applyAlignment="1">
      <alignment wrapText="1"/>
    </xf>
    <xf numFmtId="0" fontId="33" fillId="0" borderId="0" xfId="89" applyFont="1" applyFill="1" applyBorder="1"/>
    <xf numFmtId="164" fontId="24" fillId="30" borderId="21" xfId="87" applyNumberFormat="1" applyFont="1" applyFill="1" applyBorder="1" applyAlignment="1">
      <alignment wrapText="1"/>
    </xf>
    <xf numFmtId="3" fontId="24" fillId="30" borderId="53" xfId="89" applyNumberFormat="1" applyFont="1" applyFill="1" applyBorder="1" applyAlignment="1">
      <alignment horizontal="right" vertical="center" wrapText="1"/>
    </xf>
    <xf numFmtId="0" fontId="24" fillId="30" borderId="21" xfId="87" applyFont="1" applyFill="1" applyBorder="1" applyAlignment="1">
      <alignment wrapText="1"/>
    </xf>
    <xf numFmtId="168" fontId="30" fillId="30" borderId="20" xfId="53" applyNumberFormat="1" applyFont="1" applyFill="1" applyBorder="1" applyAlignment="1">
      <alignment vertical="center"/>
    </xf>
    <xf numFmtId="3" fontId="24" fillId="30" borderId="54" xfId="89" applyNumberFormat="1" applyFont="1" applyFill="1" applyBorder="1" applyAlignment="1">
      <alignment horizontal="right" vertical="center" wrapText="1"/>
    </xf>
    <xf numFmtId="168" fontId="34" fillId="30" borderId="20" xfId="53" applyNumberFormat="1" applyFont="1" applyFill="1" applyBorder="1" applyAlignment="1">
      <alignment vertical="center"/>
    </xf>
    <xf numFmtId="0" fontId="34" fillId="30" borderId="0" xfId="89" applyFont="1" applyFill="1" applyBorder="1"/>
    <xf numFmtId="3" fontId="24" fillId="30" borderId="41" xfId="89" applyNumberFormat="1" applyFont="1" applyFill="1" applyBorder="1" applyAlignment="1">
      <alignment horizontal="right" vertical="center" wrapText="1"/>
    </xf>
    <xf numFmtId="3" fontId="24" fillId="30" borderId="53" xfId="89" applyNumberFormat="1" applyFont="1" applyFill="1" applyBorder="1" applyAlignment="1">
      <alignment vertical="center"/>
    </xf>
    <xf numFmtId="3" fontId="30" fillId="30" borderId="54" xfId="89" applyNumberFormat="1" applyFont="1" applyFill="1" applyBorder="1" applyAlignment="1">
      <alignment horizontal="right" vertical="center" wrapText="1"/>
    </xf>
    <xf numFmtId="3" fontId="24" fillId="30" borderId="54" xfId="89" applyNumberFormat="1" applyFont="1" applyFill="1" applyBorder="1" applyAlignment="1">
      <alignment horizontal="right" wrapText="1"/>
    </xf>
    <xf numFmtId="168" fontId="30" fillId="30" borderId="20" xfId="53" applyNumberFormat="1" applyFont="1" applyFill="1" applyBorder="1"/>
    <xf numFmtId="168" fontId="30" fillId="30" borderId="38" xfId="53" applyNumberFormat="1" applyFont="1" applyFill="1" applyBorder="1"/>
    <xf numFmtId="0" fontId="24" fillId="30" borderId="55" xfId="87" applyFont="1" applyFill="1" applyBorder="1" applyAlignment="1">
      <alignment wrapText="1"/>
    </xf>
    <xf numFmtId="3" fontId="24" fillId="30" borderId="56" xfId="89" applyNumberFormat="1" applyFont="1" applyFill="1" applyBorder="1" applyAlignment="1">
      <alignment horizontal="right" wrapText="1"/>
    </xf>
    <xf numFmtId="168" fontId="30" fillId="30" borderId="46" xfId="53" applyNumberFormat="1" applyFont="1" applyFill="1" applyBorder="1"/>
    <xf numFmtId="168" fontId="30" fillId="30" borderId="47" xfId="53" applyNumberFormat="1" applyFont="1" applyFill="1" applyBorder="1"/>
    <xf numFmtId="0" fontId="30" fillId="30" borderId="44" xfId="89" applyFont="1" applyFill="1" applyBorder="1" applyAlignment="1">
      <alignment horizontal="center" vertical="center" wrapText="1"/>
    </xf>
    <xf numFmtId="0" fontId="30" fillId="30" borderId="57" xfId="89" applyFont="1" applyFill="1" applyBorder="1" applyAlignment="1">
      <alignment wrapText="1"/>
    </xf>
    <xf numFmtId="3" fontId="30" fillId="30" borderId="52" xfId="89" applyNumberFormat="1" applyFont="1" applyFill="1" applyBorder="1" applyAlignment="1">
      <alignment horizontal="right" wrapText="1"/>
    </xf>
    <xf numFmtId="0" fontId="24" fillId="30" borderId="58" xfId="87" applyFont="1" applyFill="1" applyBorder="1" applyAlignment="1">
      <alignment wrapText="1"/>
    </xf>
    <xf numFmtId="0" fontId="24" fillId="30" borderId="58" xfId="89" applyFont="1" applyFill="1" applyBorder="1" applyAlignment="1">
      <alignment wrapText="1"/>
    </xf>
    <xf numFmtId="3" fontId="24" fillId="30" borderId="41" xfId="89" applyNumberFormat="1" applyFont="1" applyFill="1" applyBorder="1" applyAlignment="1">
      <alignment horizontal="right" wrapText="1"/>
    </xf>
    <xf numFmtId="3" fontId="24" fillId="30" borderId="19" xfId="89" applyNumberFormat="1" applyFont="1" applyFill="1" applyBorder="1" applyAlignment="1">
      <alignment horizontal="right" wrapText="1"/>
    </xf>
    <xf numFmtId="0" fontId="24" fillId="30" borderId="58" xfId="89" applyFont="1" applyFill="1" applyBorder="1" applyAlignment="1">
      <alignment horizontal="center" wrapText="1"/>
    </xf>
    <xf numFmtId="3" fontId="24" fillId="30" borderId="53" xfId="89" applyNumberFormat="1" applyFont="1" applyFill="1" applyBorder="1"/>
    <xf numFmtId="0" fontId="30" fillId="30" borderId="0" xfId="89" applyFont="1" applyFill="1" applyBorder="1" applyAlignment="1">
      <alignment vertical="center"/>
    </xf>
    <xf numFmtId="168" fontId="24" fillId="30" borderId="20" xfId="53" applyNumberFormat="1" applyFont="1" applyFill="1" applyBorder="1" applyAlignment="1">
      <alignment vertical="center" wrapText="1"/>
    </xf>
    <xf numFmtId="0" fontId="24" fillId="30" borderId="0" xfId="89" applyFont="1" applyFill="1" applyBorder="1" applyAlignment="1">
      <alignment vertical="center" wrapText="1"/>
    </xf>
    <xf numFmtId="168" fontId="24" fillId="30" borderId="20" xfId="53" applyNumberFormat="1" applyFont="1" applyFill="1" applyBorder="1" applyAlignment="1">
      <alignment vertical="center"/>
    </xf>
    <xf numFmtId="0" fontId="24" fillId="30" borderId="0" xfId="89" applyFont="1" applyFill="1" applyBorder="1" applyAlignment="1">
      <alignment vertical="center"/>
    </xf>
    <xf numFmtId="0" fontId="24" fillId="30" borderId="59" xfId="87" applyFont="1" applyFill="1" applyBorder="1" applyAlignment="1">
      <alignment wrapText="1"/>
    </xf>
    <xf numFmtId="164" fontId="24" fillId="30" borderId="58" xfId="89" applyNumberFormat="1" applyFont="1" applyFill="1" applyBorder="1" applyAlignment="1">
      <alignment wrapText="1"/>
    </xf>
    <xf numFmtId="3" fontId="30" fillId="30" borderId="19" xfId="89" applyNumberFormat="1" applyFont="1" applyFill="1" applyBorder="1" applyAlignment="1">
      <alignment horizontal="right" vertical="center" wrapText="1"/>
    </xf>
    <xf numFmtId="0" fontId="24" fillId="30" borderId="58" xfId="87" applyFont="1" applyFill="1" applyBorder="1" applyAlignment="1">
      <alignment horizontal="left" wrapText="1"/>
    </xf>
    <xf numFmtId="0" fontId="24" fillId="30" borderId="60" xfId="87" applyFont="1" applyFill="1" applyBorder="1" applyAlignment="1">
      <alignment wrapText="1"/>
    </xf>
    <xf numFmtId="168" fontId="24" fillId="30" borderId="46" xfId="53" applyNumberFormat="1" applyFont="1" applyFill="1" applyBorder="1" applyAlignment="1">
      <alignment vertical="center"/>
    </xf>
    <xf numFmtId="3" fontId="30" fillId="30" borderId="0" xfId="89" applyNumberFormat="1" applyFont="1" applyFill="1" applyBorder="1" applyAlignment="1">
      <alignment vertical="center"/>
    </xf>
    <xf numFmtId="3" fontId="30" fillId="30" borderId="23" xfId="89" applyNumberFormat="1" applyFont="1" applyFill="1" applyBorder="1" applyAlignment="1">
      <alignment horizontal="right" vertical="center" wrapText="1"/>
    </xf>
    <xf numFmtId="168" fontId="24" fillId="30" borderId="0" xfId="89" applyNumberFormat="1" applyFont="1" applyFill="1" applyBorder="1" applyAlignment="1">
      <alignment vertical="center"/>
    </xf>
    <xf numFmtId="168" fontId="30" fillId="30" borderId="0" xfId="89" applyNumberFormat="1" applyFont="1" applyFill="1" applyBorder="1" applyAlignment="1">
      <alignment vertical="center"/>
    </xf>
    <xf numFmtId="3" fontId="24" fillId="0" borderId="53" xfId="89" applyNumberFormat="1" applyFont="1" applyFill="1" applyBorder="1" applyAlignment="1">
      <alignment vertical="center"/>
    </xf>
    <xf numFmtId="168" fontId="24" fillId="30" borderId="38" xfId="53" applyNumberFormat="1" applyFont="1" applyFill="1" applyBorder="1" applyAlignment="1">
      <alignment vertical="center"/>
    </xf>
    <xf numFmtId="0" fontId="30" fillId="30" borderId="0" xfId="89" applyFont="1" applyFill="1" applyBorder="1" applyAlignment="1">
      <alignment horizontal="center" vertical="center" wrapText="1"/>
    </xf>
    <xf numFmtId="168" fontId="30" fillId="30" borderId="61" xfId="53" applyNumberFormat="1" applyFont="1" applyFill="1" applyBorder="1"/>
    <xf numFmtId="0" fontId="30" fillId="30" borderId="42" xfId="89" applyFont="1" applyFill="1" applyBorder="1" applyAlignment="1">
      <alignment horizontal="center" vertical="center" wrapText="1"/>
    </xf>
    <xf numFmtId="3" fontId="30" fillId="0" borderId="32" xfId="89" applyNumberFormat="1" applyFont="1" applyBorder="1" applyAlignment="1">
      <alignment horizontal="center" vertical="center" wrapText="1"/>
    </xf>
    <xf numFmtId="3" fontId="24" fillId="30" borderId="20" xfId="89" applyNumberFormat="1" applyFont="1" applyFill="1" applyBorder="1" applyAlignment="1">
      <alignment horizontal="right" wrapText="1"/>
    </xf>
    <xf numFmtId="0" fontId="24" fillId="0" borderId="36" xfId="89" applyFont="1" applyBorder="1"/>
    <xf numFmtId="3" fontId="24" fillId="30" borderId="36" xfId="89" applyNumberFormat="1" applyFont="1" applyFill="1" applyBorder="1" applyAlignment="1">
      <alignment horizontal="right" wrapText="1"/>
    </xf>
    <xf numFmtId="0" fontId="30" fillId="30" borderId="62" xfId="89" applyFont="1" applyFill="1" applyBorder="1" applyAlignment="1">
      <alignment horizontal="center" vertical="center" wrapText="1"/>
    </xf>
    <xf numFmtId="168" fontId="24" fillId="30" borderId="31" xfId="53" applyNumberFormat="1" applyFont="1" applyFill="1" applyBorder="1" applyAlignment="1">
      <alignment vertical="center"/>
    </xf>
    <xf numFmtId="168" fontId="24" fillId="30" borderId="32" xfId="53" applyNumberFormat="1" applyFont="1" applyFill="1" applyBorder="1" applyAlignment="1">
      <alignment vertical="center"/>
    </xf>
    <xf numFmtId="168" fontId="24" fillId="30" borderId="29" xfId="53" applyNumberFormat="1" applyFont="1" applyFill="1" applyBorder="1" applyAlignment="1">
      <alignment vertical="center" wrapText="1"/>
    </xf>
    <xf numFmtId="3" fontId="30" fillId="30" borderId="38" xfId="89" applyNumberFormat="1" applyFont="1" applyFill="1" applyBorder="1" applyAlignment="1">
      <alignment horizontal="right" vertical="center" wrapText="1"/>
    </xf>
    <xf numFmtId="3" fontId="24" fillId="30" borderId="38" xfId="89" applyNumberFormat="1" applyFont="1" applyFill="1" applyBorder="1" applyAlignment="1">
      <alignment horizontal="right" vertical="center" wrapText="1"/>
    </xf>
    <xf numFmtId="3" fontId="24" fillId="30" borderId="50" xfId="89" applyNumberFormat="1" applyFont="1" applyFill="1" applyBorder="1" applyAlignment="1">
      <alignment horizontal="right" vertical="center" wrapText="1"/>
    </xf>
    <xf numFmtId="3" fontId="24" fillId="30" borderId="20" xfId="89" applyNumberFormat="1" applyFont="1" applyFill="1" applyBorder="1" applyAlignment="1">
      <alignment horizontal="right" vertical="center" wrapText="1"/>
    </xf>
    <xf numFmtId="0" fontId="30" fillId="0" borderId="0" xfId="89" applyFont="1" applyFill="1" applyBorder="1"/>
    <xf numFmtId="0" fontId="30" fillId="30" borderId="63" xfId="89" applyFont="1" applyFill="1" applyBorder="1" applyAlignment="1">
      <alignment vertical="center" wrapText="1"/>
    </xf>
    <xf numFmtId="0" fontId="30" fillId="30" borderId="58" xfId="89" applyFont="1" applyFill="1" applyBorder="1" applyAlignment="1">
      <alignment vertical="center" wrapText="1"/>
    </xf>
    <xf numFmtId="0" fontId="30" fillId="30" borderId="57" xfId="87" applyFont="1" applyFill="1" applyBorder="1" applyAlignment="1">
      <alignment vertical="center" wrapText="1"/>
    </xf>
    <xf numFmtId="0" fontId="24" fillId="30" borderId="58" xfId="87" applyFont="1" applyFill="1" applyBorder="1" applyAlignment="1">
      <alignment vertical="center" wrapText="1"/>
    </xf>
    <xf numFmtId="3" fontId="30" fillId="30" borderId="64" xfId="89" applyNumberFormat="1" applyFont="1" applyFill="1" applyBorder="1" applyAlignment="1">
      <alignment horizontal="right" vertical="center" wrapText="1"/>
    </xf>
    <xf numFmtId="0" fontId="30" fillId="30" borderId="58" xfId="87" applyFont="1" applyFill="1" applyBorder="1" applyAlignment="1">
      <alignment vertical="center" wrapText="1"/>
    </xf>
    <xf numFmtId="0" fontId="30" fillId="30" borderId="65" xfId="87" applyFont="1" applyFill="1" applyBorder="1" applyAlignment="1">
      <alignment vertical="center" wrapText="1"/>
    </xf>
    <xf numFmtId="3" fontId="30" fillId="30" borderId="53" xfId="89" applyNumberFormat="1" applyFont="1" applyFill="1" applyBorder="1" applyAlignment="1">
      <alignment horizontal="right" vertical="center" wrapText="1"/>
    </xf>
    <xf numFmtId="168" fontId="30" fillId="30" borderId="20" xfId="53" applyNumberFormat="1" applyFont="1" applyFill="1" applyBorder="1" applyAlignment="1">
      <alignment horizontal="right" vertical="center" wrapText="1"/>
    </xf>
    <xf numFmtId="0" fontId="24" fillId="30" borderId="63" xfId="89" applyFont="1" applyFill="1" applyBorder="1" applyAlignment="1">
      <alignment vertical="center" wrapText="1"/>
    </xf>
    <xf numFmtId="0" fontId="24" fillId="30" borderId="58" xfId="89" applyFont="1" applyFill="1" applyBorder="1" applyAlignment="1">
      <alignment vertical="center" wrapText="1"/>
    </xf>
    <xf numFmtId="0" fontId="24" fillId="30" borderId="65" xfId="89" applyFont="1" applyFill="1" applyBorder="1" applyAlignment="1">
      <alignment vertical="center" wrapText="1"/>
    </xf>
    <xf numFmtId="0" fontId="30" fillId="30" borderId="29" xfId="89" applyFont="1" applyFill="1" applyBorder="1" applyAlignment="1">
      <alignment vertical="center" wrapText="1"/>
    </xf>
    <xf numFmtId="0" fontId="30" fillId="30" borderId="59" xfId="89" applyFont="1" applyFill="1" applyBorder="1" applyAlignment="1">
      <alignment vertical="center" wrapText="1"/>
    </xf>
    <xf numFmtId="0" fontId="30" fillId="30" borderId="65" xfId="89" applyFont="1" applyFill="1" applyBorder="1" applyAlignment="1">
      <alignment vertical="center" wrapText="1"/>
    </xf>
    <xf numFmtId="0" fontId="30" fillId="30" borderId="44" xfId="89" applyFont="1" applyFill="1" applyBorder="1" applyAlignment="1">
      <alignment vertical="center" wrapText="1"/>
    </xf>
    <xf numFmtId="3" fontId="30" fillId="30" borderId="31" xfId="89" applyNumberFormat="1" applyFont="1" applyFill="1" applyBorder="1" applyAlignment="1">
      <alignment horizontal="right" vertical="center" wrapText="1"/>
    </xf>
    <xf numFmtId="3" fontId="30" fillId="30" borderId="32" xfId="89" applyNumberFormat="1" applyFont="1" applyFill="1" applyBorder="1" applyAlignment="1">
      <alignment horizontal="right" vertical="center" wrapText="1"/>
    </xf>
    <xf numFmtId="3" fontId="30" fillId="30" borderId="66" xfId="89" applyNumberFormat="1" applyFont="1" applyFill="1" applyBorder="1" applyAlignment="1">
      <alignment horizontal="right" vertical="center" wrapText="1"/>
    </xf>
    <xf numFmtId="3" fontId="30" fillId="30" borderId="67" xfId="89" applyNumberFormat="1" applyFont="1" applyFill="1" applyBorder="1" applyAlignment="1">
      <alignment horizontal="right" vertical="center" wrapText="1"/>
    </xf>
    <xf numFmtId="3" fontId="30" fillId="30" borderId="66" xfId="89" applyNumberFormat="1" applyFont="1" applyFill="1" applyBorder="1" applyAlignment="1">
      <alignment horizontal="right" wrapText="1"/>
    </xf>
    <xf numFmtId="3" fontId="30" fillId="30" borderId="68" xfId="89" applyNumberFormat="1" applyFont="1" applyFill="1" applyBorder="1" applyAlignment="1">
      <alignment horizontal="right" vertical="center" wrapText="1"/>
    </xf>
    <xf numFmtId="168" fontId="24" fillId="30" borderId="38" xfId="53" applyNumberFormat="1" applyFont="1" applyFill="1" applyBorder="1" applyAlignment="1">
      <alignment vertical="center" wrapText="1"/>
    </xf>
    <xf numFmtId="168" fontId="24" fillId="30" borderId="47" xfId="53" applyNumberFormat="1" applyFont="1" applyFill="1" applyBorder="1" applyAlignment="1">
      <alignment vertical="center"/>
    </xf>
    <xf numFmtId="3" fontId="24" fillId="0" borderId="38" xfId="89" applyNumberFormat="1" applyFont="1" applyFill="1" applyBorder="1" applyAlignment="1">
      <alignment vertical="center"/>
    </xf>
    <xf numFmtId="0" fontId="30" fillId="0" borderId="30" xfId="89" applyFont="1" applyBorder="1" applyAlignment="1">
      <alignment horizontal="center" vertical="center" wrapText="1"/>
    </xf>
    <xf numFmtId="3" fontId="24" fillId="0" borderId="53" xfId="89" applyNumberFormat="1" applyFont="1" applyBorder="1"/>
    <xf numFmtId="168" fontId="24" fillId="0" borderId="0" xfId="53" applyNumberFormat="1" applyFont="1"/>
    <xf numFmtId="0" fontId="30" fillId="0" borderId="51" xfId="89" applyFont="1" applyBorder="1" applyAlignment="1">
      <alignment horizontal="center" vertical="center" wrapText="1"/>
    </xf>
    <xf numFmtId="0" fontId="24" fillId="0" borderId="0" xfId="89" applyFont="1" applyAlignment="1">
      <alignment horizontal="center" vertical="center"/>
    </xf>
    <xf numFmtId="0" fontId="30" fillId="0" borderId="0" xfId="89" applyFont="1"/>
    <xf numFmtId="0" fontId="30" fillId="0" borderId="0" xfId="89" applyFont="1" applyBorder="1"/>
    <xf numFmtId="0" fontId="30" fillId="30" borderId="0" xfId="89" applyFont="1" applyFill="1"/>
    <xf numFmtId="168" fontId="30" fillId="0" borderId="0" xfId="53" applyNumberFormat="1" applyFont="1"/>
    <xf numFmtId="168" fontId="30" fillId="0" borderId="0" xfId="89" applyNumberFormat="1" applyFont="1"/>
    <xf numFmtId="0" fontId="24" fillId="0" borderId="0" xfId="89" applyFont="1" applyAlignment="1">
      <alignment wrapText="1"/>
    </xf>
    <xf numFmtId="3" fontId="24" fillId="0" borderId="69" xfId="89" applyNumberFormat="1" applyFont="1" applyBorder="1" applyAlignment="1">
      <alignment vertical="center"/>
    </xf>
    <xf numFmtId="3" fontId="24" fillId="0" borderId="53" xfId="89" applyNumberFormat="1" applyFont="1" applyBorder="1" applyAlignment="1">
      <alignment vertical="center"/>
    </xf>
    <xf numFmtId="3" fontId="30" fillId="0" borderId="53" xfId="89" applyNumberFormat="1" applyFont="1" applyBorder="1" applyAlignment="1">
      <alignment vertical="center"/>
    </xf>
    <xf numFmtId="168" fontId="30" fillId="0" borderId="20" xfId="53" applyNumberFormat="1" applyFont="1" applyBorder="1" applyAlignment="1">
      <alignment vertical="center"/>
    </xf>
    <xf numFmtId="3" fontId="35" fillId="0" borderId="53" xfId="89" applyNumberFormat="1" applyFont="1" applyFill="1" applyBorder="1" applyAlignment="1">
      <alignment vertical="center"/>
    </xf>
    <xf numFmtId="3" fontId="30" fillId="0" borderId="53" xfId="89" applyNumberFormat="1" applyFont="1" applyBorder="1" applyAlignment="1">
      <alignment horizontal="right" vertical="center" wrapText="1"/>
    </xf>
    <xf numFmtId="0" fontId="24" fillId="0" borderId="35" xfId="89" applyFont="1" applyBorder="1" applyAlignment="1">
      <alignment horizontal="left" vertical="center" wrapText="1"/>
    </xf>
    <xf numFmtId="0" fontId="24" fillId="0" borderId="29" xfId="89" applyFont="1" applyBorder="1" applyAlignment="1">
      <alignment horizontal="left" vertical="center" wrapText="1"/>
    </xf>
    <xf numFmtId="0" fontId="24" fillId="30" borderId="29" xfId="87" applyFont="1" applyFill="1" applyBorder="1" applyAlignment="1">
      <alignment vertical="center" wrapText="1"/>
    </xf>
    <xf numFmtId="0" fontId="30" fillId="0" borderId="29" xfId="89" applyFont="1" applyBorder="1" applyAlignment="1">
      <alignment horizontal="left" vertical="center" wrapText="1"/>
    </xf>
    <xf numFmtId="0" fontId="30" fillId="30" borderId="29" xfId="89" applyFont="1" applyFill="1" applyBorder="1" applyAlignment="1">
      <alignment horizontal="left" vertical="center" wrapText="1"/>
    </xf>
    <xf numFmtId="168" fontId="24" fillId="0" borderId="20" xfId="53" applyNumberFormat="1" applyFont="1" applyBorder="1" applyAlignment="1">
      <alignment vertical="center"/>
    </xf>
    <xf numFmtId="168" fontId="30" fillId="0" borderId="31" xfId="53" applyNumberFormat="1" applyFont="1" applyBorder="1" applyAlignment="1">
      <alignment horizontal="center" vertical="center"/>
    </xf>
    <xf numFmtId="0" fontId="30" fillId="0" borderId="32" xfId="89" applyFont="1" applyBorder="1" applyAlignment="1">
      <alignment horizontal="center" vertical="center"/>
    </xf>
    <xf numFmtId="3" fontId="24" fillId="0" borderId="37" xfId="89" applyNumberFormat="1" applyFont="1" applyBorder="1" applyAlignment="1">
      <alignment vertical="center"/>
    </xf>
    <xf numFmtId="3" fontId="30" fillId="0" borderId="37" xfId="89" applyNumberFormat="1" applyFont="1" applyBorder="1" applyAlignment="1">
      <alignment vertical="center"/>
    </xf>
    <xf numFmtId="3" fontId="24" fillId="0" borderId="37" xfId="89" applyNumberFormat="1" applyFont="1" applyBorder="1"/>
    <xf numFmtId="3" fontId="24" fillId="0" borderId="38" xfId="89" applyNumberFormat="1" applyFont="1" applyBorder="1" applyAlignment="1">
      <alignment vertical="center"/>
    </xf>
    <xf numFmtId="3" fontId="30" fillId="0" borderId="38" xfId="89" applyNumberFormat="1" applyFont="1" applyBorder="1" applyAlignment="1">
      <alignment horizontal="right" vertical="center" wrapText="1"/>
    </xf>
    <xf numFmtId="0" fontId="30" fillId="0" borderId="39" xfId="89" applyFont="1" applyBorder="1" applyAlignment="1">
      <alignment horizontal="left" vertical="center" wrapText="1"/>
    </xf>
    <xf numFmtId="3" fontId="30" fillId="0" borderId="70" xfId="89" applyNumberFormat="1" applyFont="1" applyBorder="1" applyAlignment="1">
      <alignment horizontal="right" vertical="center" wrapText="1"/>
    </xf>
    <xf numFmtId="3" fontId="30" fillId="0" borderId="71" xfId="89" applyNumberFormat="1" applyFont="1" applyBorder="1" applyAlignment="1">
      <alignment vertical="center"/>
    </xf>
    <xf numFmtId="0" fontId="30" fillId="30" borderId="30" xfId="89" applyFont="1" applyFill="1" applyBorder="1" applyAlignment="1">
      <alignment horizontal="left" vertical="center" wrapText="1"/>
    </xf>
    <xf numFmtId="3" fontId="30" fillId="30" borderId="51" xfId="89" applyNumberFormat="1" applyFont="1" applyFill="1" applyBorder="1" applyAlignment="1">
      <alignment horizontal="right" vertical="center" wrapText="1"/>
    </xf>
    <xf numFmtId="3" fontId="30" fillId="0" borderId="32" xfId="89" applyNumberFormat="1" applyFont="1" applyBorder="1" applyAlignment="1">
      <alignment vertical="center"/>
    </xf>
    <xf numFmtId="0" fontId="30" fillId="30" borderId="35" xfId="89" applyFont="1" applyFill="1" applyBorder="1" applyAlignment="1">
      <alignment horizontal="left" vertical="center" wrapText="1"/>
    </xf>
    <xf numFmtId="3" fontId="24" fillId="0" borderId="0" xfId="89" applyNumberFormat="1" applyFont="1"/>
    <xf numFmtId="3" fontId="30" fillId="0" borderId="37" xfId="87" applyNumberFormat="1" applyFont="1" applyFill="1" applyBorder="1" applyAlignment="1">
      <alignment vertical="center" wrapText="1"/>
    </xf>
    <xf numFmtId="3" fontId="24" fillId="0" borderId="38" xfId="0" applyNumberFormat="1" applyFont="1" applyFill="1" applyBorder="1"/>
    <xf numFmtId="3" fontId="30" fillId="0" borderId="38" xfId="87" applyNumberFormat="1" applyFont="1" applyFill="1" applyBorder="1" applyAlignment="1">
      <alignment vertical="center" wrapText="1"/>
    </xf>
    <xf numFmtId="0" fontId="30" fillId="30" borderId="72" xfId="89" applyFont="1" applyFill="1" applyBorder="1" applyAlignment="1">
      <alignment wrapText="1"/>
    </xf>
    <xf numFmtId="3" fontId="30" fillId="0" borderId="31" xfId="89" applyNumberFormat="1" applyFont="1" applyBorder="1" applyAlignment="1">
      <alignment horizontal="center" vertical="center" wrapText="1"/>
    </xf>
    <xf numFmtId="168" fontId="30" fillId="0" borderId="31" xfId="53" applyNumberFormat="1" applyFont="1" applyBorder="1" applyAlignment="1">
      <alignment horizontal="center" vertical="center" wrapText="1"/>
    </xf>
    <xf numFmtId="0" fontId="24" fillId="0" borderId="0" xfId="75" applyFont="1" applyFill="1" applyBorder="1"/>
    <xf numFmtId="0" fontId="30" fillId="0" borderId="0" xfId="75" applyFont="1" applyBorder="1" applyAlignment="1">
      <alignment horizontal="center"/>
    </xf>
    <xf numFmtId="0" fontId="30" fillId="0" borderId="32" xfId="89" applyFont="1" applyBorder="1" applyAlignment="1">
      <alignment horizontal="center" vertical="center" wrapText="1"/>
    </xf>
    <xf numFmtId="0" fontId="24" fillId="0" borderId="0" xfId="75" applyFont="1" applyAlignment="1">
      <alignment wrapText="1"/>
    </xf>
    <xf numFmtId="0" fontId="24" fillId="0" borderId="0" xfId="75" applyFont="1" applyAlignment="1">
      <alignment horizontal="right" wrapText="1"/>
    </xf>
    <xf numFmtId="0" fontId="24" fillId="0" borderId="0" xfId="75" applyFont="1" applyAlignment="1">
      <alignment horizontal="right"/>
    </xf>
    <xf numFmtId="0" fontId="30" fillId="0" borderId="30" xfId="75" applyFont="1" applyBorder="1" applyAlignment="1">
      <alignment wrapText="1"/>
    </xf>
    <xf numFmtId="0" fontId="30" fillId="0" borderId="31" xfId="75" applyFont="1" applyBorder="1" applyAlignment="1">
      <alignment wrapText="1"/>
    </xf>
    <xf numFmtId="0" fontId="24" fillId="30" borderId="36" xfId="89" applyFont="1" applyFill="1" applyBorder="1" applyAlignment="1">
      <alignment wrapText="1"/>
    </xf>
    <xf numFmtId="3" fontId="24" fillId="0" borderId="36" xfId="75" applyNumberFormat="1" applyFont="1" applyBorder="1"/>
    <xf numFmtId="0" fontId="24" fillId="0" borderId="36" xfId="75" applyFont="1" applyBorder="1" applyAlignment="1">
      <alignment wrapText="1"/>
    </xf>
    <xf numFmtId="0" fontId="24" fillId="30" borderId="20" xfId="89" applyFont="1" applyFill="1" applyBorder="1" applyAlignment="1">
      <alignment wrapText="1"/>
    </xf>
    <xf numFmtId="0" fontId="24" fillId="0" borderId="20" xfId="75" applyFont="1" applyBorder="1" applyAlignment="1">
      <alignment wrapText="1"/>
    </xf>
    <xf numFmtId="3" fontId="24" fillId="0" borderId="20" xfId="75" applyNumberFormat="1" applyFont="1" applyBorder="1" applyAlignment="1">
      <alignment wrapText="1"/>
    </xf>
    <xf numFmtId="0" fontId="24" fillId="0" borderId="20" xfId="75" applyFont="1" applyBorder="1"/>
    <xf numFmtId="0" fontId="24" fillId="30" borderId="20" xfId="87" applyFont="1" applyFill="1" applyBorder="1" applyAlignment="1">
      <alignment wrapText="1"/>
    </xf>
    <xf numFmtId="164" fontId="24" fillId="0" borderId="20" xfId="75" applyNumberFormat="1" applyFont="1" applyBorder="1" applyAlignment="1">
      <alignment wrapText="1"/>
    </xf>
    <xf numFmtId="0" fontId="30" fillId="0" borderId="20" xfId="75" applyFont="1" applyBorder="1" applyAlignment="1">
      <alignment wrapText="1"/>
    </xf>
    <xf numFmtId="0" fontId="30" fillId="0" borderId="20" xfId="75" applyFont="1" applyBorder="1"/>
    <xf numFmtId="168" fontId="30" fillId="0" borderId="20" xfId="53" applyNumberFormat="1" applyFont="1" applyBorder="1"/>
    <xf numFmtId="0" fontId="30" fillId="0" borderId="0" xfId="75" applyFont="1"/>
    <xf numFmtId="168" fontId="30" fillId="0" borderId="20" xfId="53" applyNumberFormat="1" applyFont="1" applyBorder="1" applyAlignment="1">
      <alignment horizontal="right"/>
    </xf>
    <xf numFmtId="0" fontId="30" fillId="0" borderId="73" xfId="75" applyFont="1" applyBorder="1" applyAlignment="1">
      <alignment wrapText="1"/>
    </xf>
    <xf numFmtId="168" fontId="30" fillId="0" borderId="74" xfId="53" applyNumberFormat="1" applyFont="1" applyBorder="1"/>
    <xf numFmtId="0" fontId="30" fillId="0" borderId="42" xfId="75" applyFont="1" applyBorder="1" applyAlignment="1">
      <alignment wrapText="1"/>
    </xf>
    <xf numFmtId="168" fontId="24" fillId="0" borderId="28" xfId="53" applyNumberFormat="1" applyFont="1" applyBorder="1"/>
    <xf numFmtId="0" fontId="24" fillId="0" borderId="58" xfId="75" applyFont="1" applyBorder="1" applyAlignment="1">
      <alignment wrapText="1"/>
    </xf>
    <xf numFmtId="168" fontId="24" fillId="0" borderId="29" xfId="53" applyNumberFormat="1" applyFont="1" applyBorder="1"/>
    <xf numFmtId="168" fontId="24" fillId="0" borderId="20" xfId="53" applyNumberFormat="1" applyFont="1" applyBorder="1"/>
    <xf numFmtId="0" fontId="30" fillId="0" borderId="58" xfId="75" applyFont="1" applyBorder="1" applyAlignment="1">
      <alignment wrapText="1"/>
    </xf>
    <xf numFmtId="0" fontId="30" fillId="0" borderId="0" xfId="75" applyFont="1" applyBorder="1"/>
    <xf numFmtId="0" fontId="24" fillId="0" borderId="65" xfId="75" applyFont="1" applyBorder="1" applyAlignment="1">
      <alignment wrapText="1"/>
    </xf>
    <xf numFmtId="0" fontId="30" fillId="0" borderId="60" xfId="75" applyFont="1" applyBorder="1" applyAlignment="1">
      <alignment wrapText="1"/>
    </xf>
    <xf numFmtId="0" fontId="30" fillId="0" borderId="0" xfId="75" applyFont="1" applyBorder="1" applyAlignment="1">
      <alignment wrapText="1"/>
    </xf>
    <xf numFmtId="0" fontId="24" fillId="0" borderId="57" xfId="75" applyFont="1" applyBorder="1" applyAlignment="1">
      <alignment wrapText="1"/>
    </xf>
    <xf numFmtId="0" fontId="24" fillId="0" borderId="15" xfId="75" applyFont="1" applyBorder="1" applyAlignment="1">
      <alignment wrapText="1"/>
    </xf>
    <xf numFmtId="168" fontId="30" fillId="0" borderId="29" xfId="53" applyNumberFormat="1" applyFont="1" applyBorder="1"/>
    <xf numFmtId="3" fontId="30" fillId="0" borderId="29" xfId="75" applyNumberFormat="1" applyFont="1" applyBorder="1"/>
    <xf numFmtId="3" fontId="24" fillId="0" borderId="29" xfId="75" applyNumberFormat="1" applyFont="1" applyBorder="1"/>
    <xf numFmtId="3" fontId="30" fillId="0" borderId="75" xfId="75" applyNumberFormat="1" applyFont="1" applyBorder="1"/>
    <xf numFmtId="0" fontId="24" fillId="0" borderId="0" xfId="79" applyFont="1" applyAlignment="1">
      <alignment wrapText="1"/>
    </xf>
    <xf numFmtId="0" fontId="24" fillId="0" borderId="0" xfId="79" applyFont="1"/>
    <xf numFmtId="0" fontId="24" fillId="0" borderId="0" xfId="79" applyFont="1" applyAlignment="1">
      <alignment horizontal="right"/>
    </xf>
    <xf numFmtId="0" fontId="30" fillId="0" borderId="19" xfId="79" applyFont="1" applyBorder="1" applyAlignment="1">
      <alignment wrapText="1"/>
    </xf>
    <xf numFmtId="0" fontId="30" fillId="0" borderId="41" xfId="79" applyFont="1" applyBorder="1" applyAlignment="1">
      <alignment wrapText="1"/>
    </xf>
    <xf numFmtId="0" fontId="24" fillId="0" borderId="19" xfId="79" applyFont="1" applyBorder="1" applyAlignment="1">
      <alignment wrapText="1"/>
    </xf>
    <xf numFmtId="0" fontId="24" fillId="0" borderId="0" xfId="79" applyFont="1" applyBorder="1" applyAlignment="1">
      <alignment wrapText="1"/>
    </xf>
    <xf numFmtId="0" fontId="24" fillId="0" borderId="19" xfId="89" applyFont="1" applyBorder="1" applyAlignment="1">
      <alignment horizontal="left" wrapText="1"/>
    </xf>
    <xf numFmtId="0" fontId="24" fillId="0" borderId="76" xfId="77" applyFont="1" applyBorder="1" applyAlignment="1">
      <alignment wrapText="1"/>
    </xf>
    <xf numFmtId="0" fontId="24" fillId="0" borderId="19" xfId="77" applyFont="1" applyBorder="1" applyAlignment="1">
      <alignment wrapText="1"/>
    </xf>
    <xf numFmtId="0" fontId="24" fillId="0" borderId="77" xfId="77" applyFont="1" applyBorder="1" applyAlignment="1">
      <alignment wrapText="1"/>
    </xf>
    <xf numFmtId="0" fontId="24" fillId="0" borderId="54" xfId="77" applyFont="1" applyBorder="1" applyAlignment="1">
      <alignment wrapText="1"/>
    </xf>
    <xf numFmtId="3" fontId="24" fillId="0" borderId="19" xfId="79" applyNumberFormat="1" applyFont="1" applyBorder="1"/>
    <xf numFmtId="0" fontId="24" fillId="30" borderId="19" xfId="89" applyFont="1" applyFill="1" applyBorder="1" applyAlignment="1">
      <alignment wrapText="1"/>
    </xf>
    <xf numFmtId="3" fontId="24" fillId="0" borderId="76" xfId="79" applyNumberFormat="1" applyFont="1" applyBorder="1"/>
    <xf numFmtId="3" fontId="30" fillId="0" borderId="19" xfId="79" applyNumberFormat="1" applyFont="1" applyBorder="1"/>
    <xf numFmtId="0" fontId="30" fillId="0" borderId="0" xfId="79" applyFont="1"/>
    <xf numFmtId="0" fontId="30" fillId="0" borderId="54" xfId="79" applyFont="1" applyBorder="1" applyAlignment="1">
      <alignment wrapText="1"/>
    </xf>
    <xf numFmtId="0" fontId="30" fillId="0" borderId="0" xfId="79" applyFont="1" applyBorder="1"/>
    <xf numFmtId="0" fontId="30" fillId="0" borderId="76" xfId="79" applyFont="1" applyBorder="1"/>
    <xf numFmtId="0" fontId="24" fillId="0" borderId="0" xfId="79" applyFont="1" applyBorder="1"/>
    <xf numFmtId="3" fontId="24" fillId="0" borderId="0" xfId="79" applyNumberFormat="1" applyFont="1" applyBorder="1"/>
    <xf numFmtId="0" fontId="24" fillId="0" borderId="54" xfId="79" applyFont="1" applyBorder="1" applyAlignment="1">
      <alignment wrapText="1"/>
    </xf>
    <xf numFmtId="0" fontId="30" fillId="0" borderId="76" xfId="79" applyFont="1" applyBorder="1" applyAlignment="1">
      <alignment wrapText="1"/>
    </xf>
    <xf numFmtId="3" fontId="24" fillId="0" borderId="0" xfId="79" applyNumberFormat="1" applyFont="1"/>
    <xf numFmtId="0" fontId="30" fillId="0" borderId="0" xfId="79" applyFont="1" applyBorder="1" applyAlignment="1">
      <alignment wrapText="1"/>
    </xf>
    <xf numFmtId="3" fontId="30" fillId="0" borderId="0" xfId="79" applyNumberFormat="1" applyFont="1" applyBorder="1"/>
    <xf numFmtId="0" fontId="30" fillId="0" borderId="10" xfId="79" applyFont="1" applyBorder="1" applyAlignment="1">
      <alignment wrapText="1"/>
    </xf>
    <xf numFmtId="0" fontId="30" fillId="0" borderId="20" xfId="79" applyFont="1" applyBorder="1" applyAlignment="1">
      <alignment wrapText="1"/>
    </xf>
    <xf numFmtId="3" fontId="30" fillId="0" borderId="20" xfId="79" applyNumberFormat="1" applyFont="1" applyBorder="1"/>
    <xf numFmtId="0" fontId="24" fillId="0" borderId="23" xfId="77" applyFont="1" applyBorder="1" applyAlignment="1">
      <alignment wrapText="1"/>
    </xf>
    <xf numFmtId="3" fontId="24" fillId="0" borderId="23" xfId="79" applyNumberFormat="1" applyFont="1" applyBorder="1"/>
    <xf numFmtId="0" fontId="24" fillId="0" borderId="50" xfId="77" applyFont="1" applyBorder="1" applyAlignment="1">
      <alignment wrapText="1"/>
    </xf>
    <xf numFmtId="3" fontId="24" fillId="0" borderId="54" xfId="79" applyNumberFormat="1" applyFont="1" applyBorder="1"/>
    <xf numFmtId="0" fontId="24" fillId="0" borderId="20" xfId="77" applyFont="1" applyBorder="1" applyAlignment="1">
      <alignment wrapText="1"/>
    </xf>
    <xf numFmtId="3" fontId="24" fillId="0" borderId="20" xfId="79" applyNumberFormat="1" applyFont="1" applyBorder="1"/>
    <xf numFmtId="0" fontId="24" fillId="0" borderId="20" xfId="79" applyFont="1" applyBorder="1" applyAlignment="1">
      <alignment wrapText="1"/>
    </xf>
    <xf numFmtId="0" fontId="24" fillId="0" borderId="20" xfId="77" applyFont="1" applyFill="1" applyBorder="1" applyAlignment="1">
      <alignment wrapText="1"/>
    </xf>
    <xf numFmtId="3" fontId="24" fillId="0" borderId="20" xfId="79" applyNumberFormat="1" applyFont="1" applyBorder="1" applyAlignment="1">
      <alignment wrapText="1"/>
    </xf>
    <xf numFmtId="0" fontId="24" fillId="0" borderId="20" xfId="89" applyFont="1" applyBorder="1" applyAlignment="1">
      <alignment horizontal="left" wrapText="1"/>
    </xf>
    <xf numFmtId="3" fontId="24" fillId="30" borderId="20" xfId="90" applyNumberFormat="1" applyFont="1" applyFill="1" applyBorder="1" applyAlignment="1">
      <alignment horizontal="right" wrapText="1"/>
    </xf>
    <xf numFmtId="0" fontId="30" fillId="30" borderId="41" xfId="90" applyFont="1" applyFill="1" applyBorder="1" applyAlignment="1">
      <alignment horizontal="center" vertical="center" wrapText="1"/>
    </xf>
    <xf numFmtId="0" fontId="30" fillId="30" borderId="0" xfId="90" applyFont="1" applyFill="1" applyBorder="1" applyAlignment="1">
      <alignment horizontal="center" vertical="center" wrapText="1"/>
    </xf>
    <xf numFmtId="0" fontId="24" fillId="0" borderId="41" xfId="79" applyFont="1" applyBorder="1"/>
    <xf numFmtId="0" fontId="24" fillId="0" borderId="41" xfId="79" applyFont="1" applyBorder="1" applyAlignment="1">
      <alignment wrapText="1"/>
    </xf>
    <xf numFmtId="0" fontId="30" fillId="0" borderId="13" xfId="79" applyFont="1" applyBorder="1" applyAlignment="1">
      <alignment wrapText="1"/>
    </xf>
    <xf numFmtId="0" fontId="24" fillId="0" borderId="19" xfId="75" applyFont="1" applyBorder="1" applyAlignment="1">
      <alignment wrapText="1"/>
    </xf>
    <xf numFmtId="3" fontId="24" fillId="0" borderId="41" xfId="79" applyNumberFormat="1" applyFont="1" applyBorder="1"/>
    <xf numFmtId="3" fontId="30" fillId="0" borderId="20" xfId="79" applyNumberFormat="1" applyFont="1" applyBorder="1" applyAlignment="1">
      <alignment wrapText="1"/>
    </xf>
    <xf numFmtId="0" fontId="24" fillId="0" borderId="0" xfId="0" applyFont="1" applyFill="1" applyAlignment="1">
      <alignment wrapText="1"/>
    </xf>
    <xf numFmtId="0" fontId="36" fillId="0" borderId="0" xfId="0" applyFont="1"/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right"/>
    </xf>
    <xf numFmtId="0" fontId="24" fillId="0" borderId="78" xfId="0" applyFont="1" applyFill="1" applyBorder="1" applyAlignment="1">
      <alignment horizontal="center" wrapText="1"/>
    </xf>
    <xf numFmtId="0" fontId="24" fillId="0" borderId="79" xfId="0" applyFont="1" applyFill="1" applyBorder="1" applyAlignment="1">
      <alignment horizontal="center" wrapText="1"/>
    </xf>
    <xf numFmtId="0" fontId="24" fillId="0" borderId="80" xfId="0" applyFont="1" applyFill="1" applyBorder="1" applyAlignment="1">
      <alignment horizontal="center" wrapText="1"/>
    </xf>
    <xf numFmtId="3" fontId="30" fillId="0" borderId="30" xfId="0" applyNumberFormat="1" applyFont="1" applyFill="1" applyBorder="1" applyAlignment="1">
      <alignment horizontal="left" wrapText="1"/>
    </xf>
    <xf numFmtId="3" fontId="30" fillId="0" borderId="31" xfId="0" applyNumberFormat="1" applyFont="1" applyFill="1" applyBorder="1" applyAlignment="1">
      <alignment horizontal="right" wrapText="1"/>
    </xf>
    <xf numFmtId="3" fontId="36" fillId="0" borderId="0" xfId="0" applyNumberFormat="1" applyFont="1"/>
    <xf numFmtId="3" fontId="24" fillId="0" borderId="28" xfId="0" applyNumberFormat="1" applyFont="1" applyFill="1" applyBorder="1" applyAlignment="1">
      <alignment horizontal="left" wrapText="1"/>
    </xf>
    <xf numFmtId="3" fontId="30" fillId="0" borderId="33" xfId="0" applyNumberFormat="1" applyFont="1" applyFill="1" applyBorder="1" applyAlignment="1">
      <alignment horizontal="right" wrapText="1"/>
    </xf>
    <xf numFmtId="3" fontId="30" fillId="0" borderId="80" xfId="0" applyNumberFormat="1" applyFont="1" applyFill="1" applyBorder="1" applyAlignment="1">
      <alignment horizontal="right" wrapText="1"/>
    </xf>
    <xf numFmtId="0" fontId="24" fillId="0" borderId="35" xfId="0" applyFont="1" applyFill="1" applyBorder="1" applyAlignment="1">
      <alignment wrapText="1"/>
    </xf>
    <xf numFmtId="3" fontId="24" fillId="0" borderId="36" xfId="0" applyNumberFormat="1" applyFont="1" applyFill="1" applyBorder="1"/>
    <xf numFmtId="3" fontId="30" fillId="0" borderId="20" xfId="0" applyNumberFormat="1" applyFont="1" applyFill="1" applyBorder="1" applyAlignment="1">
      <alignment horizontal="right" wrapText="1"/>
    </xf>
    <xf numFmtId="3" fontId="24" fillId="0" borderId="61" xfId="0" applyNumberFormat="1" applyFont="1" applyFill="1" applyBorder="1"/>
    <xf numFmtId="0" fontId="33" fillId="0" borderId="29" xfId="0" applyFont="1" applyFill="1" applyBorder="1" applyAlignment="1">
      <alignment wrapText="1"/>
    </xf>
    <xf numFmtId="3" fontId="33" fillId="0" borderId="20" xfId="0" applyNumberFormat="1" applyFont="1" applyFill="1" applyBorder="1"/>
    <xf numFmtId="1" fontId="30" fillId="0" borderId="20" xfId="0" applyNumberFormat="1" applyFont="1" applyFill="1" applyBorder="1"/>
    <xf numFmtId="0" fontId="30" fillId="0" borderId="20" xfId="0" applyFont="1" applyFill="1" applyBorder="1"/>
    <xf numFmtId="3" fontId="30" fillId="0" borderId="20" xfId="0" applyNumberFormat="1" applyFont="1" applyFill="1" applyBorder="1"/>
    <xf numFmtId="3" fontId="30" fillId="0" borderId="61" xfId="0" applyNumberFormat="1" applyFont="1" applyFill="1" applyBorder="1"/>
    <xf numFmtId="3" fontId="30" fillId="0" borderId="37" xfId="0" applyNumberFormat="1" applyFont="1" applyFill="1" applyBorder="1" applyAlignment="1">
      <alignment horizontal="right" wrapText="1"/>
    </xf>
    <xf numFmtId="3" fontId="30" fillId="0" borderId="38" xfId="0" applyNumberFormat="1" applyFont="1" applyFill="1" applyBorder="1" applyAlignment="1">
      <alignment horizontal="right"/>
    </xf>
    <xf numFmtId="3" fontId="24" fillId="0" borderId="81" xfId="0" applyNumberFormat="1" applyFont="1" applyFill="1" applyBorder="1"/>
    <xf numFmtId="3" fontId="30" fillId="0" borderId="24" xfId="0" applyNumberFormat="1" applyFont="1" applyFill="1" applyBorder="1"/>
    <xf numFmtId="0" fontId="30" fillId="0" borderId="75" xfId="0" applyFont="1" applyFill="1" applyBorder="1" applyAlignment="1">
      <alignment wrapText="1"/>
    </xf>
    <xf numFmtId="3" fontId="30" fillId="0" borderId="46" xfId="0" applyNumberFormat="1" applyFont="1" applyFill="1" applyBorder="1"/>
    <xf numFmtId="0" fontId="30" fillId="0" borderId="30" xfId="0" applyFont="1" applyFill="1" applyBorder="1" applyAlignment="1">
      <alignment wrapText="1"/>
    </xf>
    <xf numFmtId="3" fontId="30" fillId="0" borderId="31" xfId="0" applyNumberFormat="1" applyFont="1" applyFill="1" applyBorder="1"/>
    <xf numFmtId="0" fontId="36" fillId="0" borderId="0" xfId="0" applyFont="1" applyAlignment="1">
      <alignment wrapText="1"/>
    </xf>
    <xf numFmtId="0" fontId="36" fillId="0" borderId="0" xfId="71" applyFont="1"/>
    <xf numFmtId="0" fontId="24" fillId="0" borderId="0" xfId="71" applyFont="1" applyAlignment="1">
      <alignment horizontal="justify" wrapText="1"/>
    </xf>
    <xf numFmtId="0" fontId="36" fillId="0" borderId="0" xfId="71" applyFont="1" applyAlignment="1">
      <alignment wrapText="1"/>
    </xf>
    <xf numFmtId="0" fontId="39" fillId="0" borderId="20" xfId="71" applyFont="1" applyBorder="1" applyAlignment="1">
      <alignment horizontal="left" vertical="center" wrapText="1"/>
    </xf>
    <xf numFmtId="0" fontId="39" fillId="0" borderId="20" xfId="71" applyFont="1" applyBorder="1" applyAlignment="1">
      <alignment horizontal="left"/>
    </xf>
    <xf numFmtId="0" fontId="23" fillId="0" borderId="20" xfId="71" applyFont="1" applyBorder="1" applyAlignment="1">
      <alignment horizontal="right"/>
    </xf>
    <xf numFmtId="0" fontId="38" fillId="0" borderId="20" xfId="71" applyFont="1" applyBorder="1" applyAlignment="1">
      <alignment wrapText="1"/>
    </xf>
    <xf numFmtId="0" fontId="38" fillId="0" borderId="20" xfId="71" applyFont="1" applyBorder="1" applyAlignment="1"/>
    <xf numFmtId="3" fontId="38" fillId="0" borderId="20" xfId="71" applyNumberFormat="1" applyFont="1" applyBorder="1"/>
    <xf numFmtId="0" fontId="38" fillId="0" borderId="20" xfId="71" applyFont="1" applyBorder="1"/>
    <xf numFmtId="0" fontId="23" fillId="0" borderId="20" xfId="71" applyFont="1" applyBorder="1" applyAlignment="1">
      <alignment vertical="center" wrapText="1"/>
    </xf>
    <xf numFmtId="0" fontId="23" fillId="0" borderId="20" xfId="71" applyFont="1" applyBorder="1" applyAlignment="1"/>
    <xf numFmtId="3" fontId="23" fillId="0" borderId="20" xfId="71" applyNumberFormat="1" applyFont="1" applyBorder="1"/>
    <xf numFmtId="0" fontId="37" fillId="0" borderId="0" xfId="71" applyFont="1"/>
    <xf numFmtId="0" fontId="38" fillId="0" borderId="0" xfId="71" applyFont="1" applyBorder="1" applyAlignment="1">
      <alignment wrapText="1"/>
    </xf>
    <xf numFmtId="0" fontId="38" fillId="0" borderId="0" xfId="71" applyFont="1" applyBorder="1" applyAlignment="1"/>
    <xf numFmtId="0" fontId="38" fillId="0" borderId="0" xfId="71" applyFont="1" applyBorder="1"/>
    <xf numFmtId="0" fontId="38" fillId="0" borderId="0" xfId="71" applyFont="1" applyAlignment="1">
      <alignment wrapText="1"/>
    </xf>
    <xf numFmtId="0" fontId="38" fillId="0" borderId="0" xfId="71" applyFont="1"/>
    <xf numFmtId="0" fontId="23" fillId="0" borderId="20" xfId="71" applyFont="1" applyBorder="1" applyAlignment="1">
      <alignment wrapText="1"/>
    </xf>
    <xf numFmtId="0" fontId="23" fillId="0" borderId="20" xfId="71" applyFont="1" applyBorder="1" applyAlignment="1">
      <alignment horizontal="center" wrapText="1"/>
    </xf>
    <xf numFmtId="0" fontId="38" fillId="0" borderId="20" xfId="71" applyFont="1" applyBorder="1" applyAlignment="1">
      <alignment horizontal="center"/>
    </xf>
    <xf numFmtId="0" fontId="39" fillId="0" borderId="20" xfId="71" applyFont="1" applyBorder="1" applyAlignment="1">
      <alignment wrapText="1"/>
    </xf>
    <xf numFmtId="0" fontId="39" fillId="0" borderId="20" xfId="71" applyFont="1" applyBorder="1" applyAlignment="1">
      <alignment horizontal="center"/>
    </xf>
    <xf numFmtId="3" fontId="39" fillId="0" borderId="20" xfId="71" applyNumberFormat="1" applyFont="1" applyBorder="1"/>
    <xf numFmtId="3" fontId="36" fillId="0" borderId="0" xfId="71" applyNumberFormat="1" applyFont="1"/>
    <xf numFmtId="0" fontId="24" fillId="0" borderId="0" xfId="80" applyFont="1"/>
    <xf numFmtId="0" fontId="30" fillId="0" borderId="78" xfId="82" applyFont="1" applyBorder="1" applyAlignment="1">
      <alignment horizontal="center"/>
    </xf>
    <xf numFmtId="0" fontId="30" fillId="0" borderId="82" xfId="82" applyFont="1" applyBorder="1" applyAlignment="1">
      <alignment horizontal="center"/>
    </xf>
    <xf numFmtId="0" fontId="30" fillId="0" borderId="83" xfId="82" applyFont="1" applyBorder="1" applyAlignment="1">
      <alignment horizontal="center"/>
    </xf>
    <xf numFmtId="0" fontId="24" fillId="0" borderId="84" xfId="82" applyFont="1" applyBorder="1"/>
    <xf numFmtId="0" fontId="24" fillId="0" borderId="85" xfId="82" applyFont="1" applyBorder="1"/>
    <xf numFmtId="0" fontId="30" fillId="0" borderId="85" xfId="82" applyFont="1" applyBorder="1" applyAlignment="1">
      <alignment horizontal="center"/>
    </xf>
    <xf numFmtId="0" fontId="30" fillId="0" borderId="86" xfId="82" applyFont="1" applyBorder="1" applyAlignment="1">
      <alignment horizontal="center"/>
    </xf>
    <xf numFmtId="0" fontId="30" fillId="0" borderId="87" xfId="82" applyFont="1" applyBorder="1" applyAlignment="1">
      <alignment horizontal="center"/>
    </xf>
    <xf numFmtId="0" fontId="30" fillId="0" borderId="88" xfId="82" applyFont="1" applyBorder="1" applyAlignment="1">
      <alignment horizontal="center"/>
    </xf>
    <xf numFmtId="0" fontId="30" fillId="0" borderId="89" xfId="82" applyFont="1" applyBorder="1" applyAlignment="1">
      <alignment horizontal="center"/>
    </xf>
    <xf numFmtId="0" fontId="30" fillId="0" borderId="29" xfId="82" applyFont="1" applyBorder="1" applyAlignment="1">
      <alignment horizontal="center"/>
    </xf>
    <xf numFmtId="0" fontId="30" fillId="0" borderId="20" xfId="82" applyFont="1" applyBorder="1" applyAlignment="1">
      <alignment wrapText="1"/>
    </xf>
    <xf numFmtId="0" fontId="30" fillId="0" borderId="20" xfId="82" applyFont="1" applyBorder="1"/>
    <xf numFmtId="167" fontId="30" fillId="0" borderId="20" xfId="82" applyNumberFormat="1" applyFont="1" applyBorder="1" applyAlignment="1">
      <alignment horizontal="right"/>
    </xf>
    <xf numFmtId="167" fontId="30" fillId="0" borderId="38" xfId="82" applyNumberFormat="1" applyFont="1" applyBorder="1" applyAlignment="1">
      <alignment horizontal="right"/>
    </xf>
    <xf numFmtId="0" fontId="24" fillId="0" borderId="29" xfId="82" applyFont="1" applyBorder="1" applyAlignment="1">
      <alignment horizontal="center"/>
    </xf>
    <xf numFmtId="0" fontId="24" fillId="0" borderId="20" xfId="82" applyFont="1" applyBorder="1"/>
    <xf numFmtId="167" fontId="24" fillId="0" borderId="20" xfId="82" applyNumberFormat="1" applyFont="1" applyBorder="1" applyAlignment="1">
      <alignment horizontal="right"/>
    </xf>
    <xf numFmtId="167" fontId="24" fillId="0" borderId="38" xfId="82" applyNumberFormat="1" applyFont="1" applyBorder="1" applyAlignment="1">
      <alignment horizontal="right"/>
    </xf>
    <xf numFmtId="0" fontId="30" fillId="0" borderId="29" xfId="82" applyFont="1" applyBorder="1" applyAlignment="1">
      <alignment horizontal="center" wrapText="1"/>
    </xf>
    <xf numFmtId="0" fontId="30" fillId="0" borderId="36" xfId="82" applyFont="1" applyBorder="1" applyAlignment="1">
      <alignment wrapText="1"/>
    </xf>
    <xf numFmtId="0" fontId="30" fillId="0" borderId="36" xfId="82" applyFont="1" applyBorder="1"/>
    <xf numFmtId="167" fontId="30" fillId="0" borderId="36" xfId="82" applyNumberFormat="1" applyFont="1" applyBorder="1"/>
    <xf numFmtId="0" fontId="24" fillId="0" borderId="20" xfId="80" applyFont="1" applyBorder="1"/>
    <xf numFmtId="3" fontId="24" fillId="30" borderId="16" xfId="89" applyNumberFormat="1" applyFont="1" applyFill="1" applyBorder="1" applyAlignment="1">
      <alignment horizontal="right" wrapText="1"/>
    </xf>
    <xf numFmtId="3" fontId="24" fillId="0" borderId="20" xfId="82" applyNumberFormat="1" applyFont="1" applyBorder="1" applyAlignment="1">
      <alignment horizontal="right"/>
    </xf>
    <xf numFmtId="3" fontId="24" fillId="0" borderId="38" xfId="82" applyNumberFormat="1" applyFont="1" applyBorder="1" applyAlignment="1">
      <alignment horizontal="right"/>
    </xf>
    <xf numFmtId="0" fontId="24" fillId="0" borderId="20" xfId="82" applyFont="1" applyBorder="1" applyAlignment="1">
      <alignment wrapText="1"/>
    </xf>
    <xf numFmtId="0" fontId="30" fillId="0" borderId="39" xfId="82" applyFont="1" applyBorder="1" applyAlignment="1">
      <alignment horizontal="center" wrapText="1"/>
    </xf>
    <xf numFmtId="0" fontId="30" fillId="0" borderId="24" xfId="82" applyFont="1" applyBorder="1" applyAlignment="1">
      <alignment wrapText="1"/>
    </xf>
    <xf numFmtId="0" fontId="24" fillId="0" borderId="24" xfId="82" applyFont="1" applyBorder="1"/>
    <xf numFmtId="167" fontId="24" fillId="0" borderId="24" xfId="82" applyNumberFormat="1" applyFont="1" applyBorder="1" applyAlignment="1">
      <alignment horizontal="right"/>
    </xf>
    <xf numFmtId="167" fontId="24" fillId="0" borderId="40" xfId="82" applyNumberFormat="1" applyFont="1" applyBorder="1" applyAlignment="1">
      <alignment horizontal="right"/>
    </xf>
    <xf numFmtId="0" fontId="30" fillId="0" borderId="30" xfId="82" applyFont="1" applyBorder="1" applyAlignment="1">
      <alignment horizontal="center"/>
    </xf>
    <xf numFmtId="0" fontId="30" fillId="0" borderId="31" xfId="82" applyFont="1" applyBorder="1"/>
    <xf numFmtId="3" fontId="30" fillId="0" borderId="31" xfId="82" applyNumberFormat="1" applyFont="1" applyBorder="1" applyAlignment="1">
      <alignment horizontal="right"/>
    </xf>
    <xf numFmtId="3" fontId="30" fillId="0" borderId="32" xfId="82" applyNumberFormat="1" applyFont="1" applyBorder="1" applyAlignment="1">
      <alignment horizontal="right"/>
    </xf>
    <xf numFmtId="0" fontId="24" fillId="0" borderId="0" xfId="73" applyFont="1"/>
    <xf numFmtId="0" fontId="30" fillId="0" borderId="10" xfId="92" applyFont="1" applyBorder="1" applyAlignment="1">
      <alignment horizontal="center"/>
    </xf>
    <xf numFmtId="0" fontId="30" fillId="0" borderId="11" xfId="92" applyFont="1" applyBorder="1" applyAlignment="1">
      <alignment horizontal="center"/>
    </xf>
    <xf numFmtId="0" fontId="24" fillId="0" borderId="12" xfId="92" applyFont="1" applyBorder="1" applyAlignment="1">
      <alignment horizontal="center"/>
    </xf>
    <xf numFmtId="0" fontId="24" fillId="0" borderId="13" xfId="92" applyFont="1" applyBorder="1" applyAlignment="1">
      <alignment horizontal="center"/>
    </xf>
    <xf numFmtId="0" fontId="30" fillId="0" borderId="13" xfId="92" applyFont="1" applyBorder="1" applyAlignment="1">
      <alignment horizontal="center"/>
    </xf>
    <xf numFmtId="0" fontId="30" fillId="0" borderId="12" xfId="92" applyFont="1" applyBorder="1" applyAlignment="1">
      <alignment horizontal="center" wrapText="1"/>
    </xf>
    <xf numFmtId="0" fontId="24" fillId="0" borderId="14" xfId="92" applyFont="1" applyBorder="1" applyAlignment="1">
      <alignment horizontal="center"/>
    </xf>
    <xf numFmtId="0" fontId="24" fillId="0" borderId="15" xfId="92" applyFont="1" applyBorder="1" applyAlignment="1">
      <alignment horizontal="center"/>
    </xf>
    <xf numFmtId="0" fontId="30" fillId="0" borderId="15" xfId="92" applyFont="1" applyBorder="1" applyAlignment="1">
      <alignment horizontal="center"/>
    </xf>
    <xf numFmtId="0" fontId="24" fillId="0" borderId="15" xfId="92" applyFont="1" applyBorder="1" applyAlignment="1">
      <alignment horizontal="center" wrapText="1"/>
    </xf>
    <xf numFmtId="0" fontId="30" fillId="0" borderId="14" xfId="92" applyFont="1" applyBorder="1" applyAlignment="1">
      <alignment wrapText="1"/>
    </xf>
    <xf numFmtId="0" fontId="30" fillId="0" borderId="16" xfId="92" applyFont="1" applyBorder="1" applyAlignment="1">
      <alignment horizontal="center"/>
    </xf>
    <xf numFmtId="0" fontId="30" fillId="0" borderId="90" xfId="92" applyFont="1" applyBorder="1" applyAlignment="1">
      <alignment horizontal="center"/>
    </xf>
    <xf numFmtId="0" fontId="30" fillId="0" borderId="77" xfId="92" applyFont="1" applyBorder="1" applyAlignment="1">
      <alignment horizontal="center"/>
    </xf>
    <xf numFmtId="0" fontId="30" fillId="0" borderId="16" xfId="73" applyFont="1" applyBorder="1" applyAlignment="1">
      <alignment horizontal="center"/>
    </xf>
    <xf numFmtId="0" fontId="30" fillId="0" borderId="11" xfId="92" applyFont="1" applyBorder="1"/>
    <xf numFmtId="0" fontId="24" fillId="29" borderId="11" xfId="92" applyFont="1" applyFill="1" applyBorder="1"/>
    <xf numFmtId="0" fontId="24" fillId="0" borderId="91" xfId="92" applyFont="1" applyBorder="1"/>
    <xf numFmtId="0" fontId="24" fillId="0" borderId="92" xfId="92" applyFont="1" applyBorder="1"/>
    <xf numFmtId="0" fontId="24" fillId="0" borderId="16" xfId="73" applyFont="1" applyBorder="1"/>
    <xf numFmtId="0" fontId="30" fillId="0" borderId="13" xfId="92" applyFont="1" applyBorder="1"/>
    <xf numFmtId="0" fontId="24" fillId="29" borderId="13" xfId="92" applyFont="1" applyFill="1" applyBorder="1"/>
    <xf numFmtId="0" fontId="24" fillId="0" borderId="13" xfId="92" applyFont="1" applyBorder="1"/>
    <xf numFmtId="0" fontId="24" fillId="0" borderId="0" xfId="92" applyFont="1" applyBorder="1"/>
    <xf numFmtId="0" fontId="24" fillId="0" borderId="16" xfId="92" applyFont="1" applyBorder="1" applyAlignment="1">
      <alignment horizontal="center"/>
    </xf>
    <xf numFmtId="0" fontId="24" fillId="0" borderId="16" xfId="92" applyFont="1" applyBorder="1"/>
    <xf numFmtId="0" fontId="24" fillId="0" borderId="19" xfId="92" applyFont="1" applyBorder="1"/>
    <xf numFmtId="0" fontId="30" fillId="0" borderId="91" xfId="92" applyFont="1" applyBorder="1"/>
    <xf numFmtId="0" fontId="24" fillId="0" borderId="11" xfId="92" applyFont="1" applyBorder="1"/>
    <xf numFmtId="0" fontId="24" fillId="0" borderId="50" xfId="92" applyFont="1" applyBorder="1"/>
    <xf numFmtId="0" fontId="30" fillId="0" borderId="93" xfId="92" applyFont="1" applyBorder="1"/>
    <xf numFmtId="167" fontId="30" fillId="0" borderId="16" xfId="92" applyNumberFormat="1" applyFont="1" applyBorder="1"/>
    <xf numFmtId="0" fontId="24" fillId="0" borderId="16" xfId="73" applyFont="1" applyBorder="1" applyAlignment="1">
      <alignment wrapText="1"/>
    </xf>
    <xf numFmtId="0" fontId="24" fillId="0" borderId="16" xfId="73" applyFont="1" applyBorder="1" applyAlignment="1">
      <alignment horizontal="center"/>
    </xf>
    <xf numFmtId="3" fontId="24" fillId="0" borderId="16" xfId="92" applyNumberFormat="1" applyFont="1" applyBorder="1"/>
    <xf numFmtId="3" fontId="30" fillId="0" borderId="19" xfId="92" applyNumberFormat="1" applyFont="1" applyBorder="1"/>
    <xf numFmtId="3" fontId="24" fillId="0" borderId="16" xfId="73" applyNumberFormat="1" applyFont="1" applyBorder="1"/>
    <xf numFmtId="167" fontId="24" fillId="0" borderId="16" xfId="92" applyNumberFormat="1" applyFont="1" applyBorder="1"/>
    <xf numFmtId="3" fontId="24" fillId="0" borderId="19" xfId="92" applyNumberFormat="1" applyFont="1" applyBorder="1"/>
    <xf numFmtId="0" fontId="30" fillId="0" borderId="16" xfId="73" applyFont="1" applyBorder="1" applyAlignment="1">
      <alignment wrapText="1"/>
    </xf>
    <xf numFmtId="3" fontId="30" fillId="0" borderId="16" xfId="92" applyNumberFormat="1" applyFont="1" applyBorder="1"/>
    <xf numFmtId="0" fontId="30" fillId="0" borderId="0" xfId="73" applyFont="1"/>
    <xf numFmtId="0" fontId="24" fillId="0" borderId="10" xfId="73" applyFont="1" applyBorder="1" applyAlignment="1">
      <alignment horizontal="center"/>
    </xf>
    <xf numFmtId="0" fontId="30" fillId="0" borderId="16" xfId="92" applyFont="1" applyBorder="1"/>
    <xf numFmtId="0" fontId="24" fillId="29" borderId="16" xfId="92" applyFont="1" applyFill="1" applyBorder="1"/>
    <xf numFmtId="0" fontId="24" fillId="0" borderId="20" xfId="91" applyFont="1" applyBorder="1" applyAlignment="1">
      <alignment horizontal="left" wrapText="1"/>
    </xf>
    <xf numFmtId="0" fontId="24" fillId="0" borderId="20" xfId="91" applyFont="1" applyBorder="1" applyAlignment="1">
      <alignment horizontal="center"/>
    </xf>
    <xf numFmtId="3" fontId="24" fillId="0" borderId="16" xfId="92" applyNumberFormat="1" applyFont="1" applyBorder="1" applyAlignment="1">
      <alignment horizontal="right" wrapText="1"/>
    </xf>
    <xf numFmtId="3" fontId="24" fillId="0" borderId="16" xfId="92" applyNumberFormat="1" applyFont="1" applyBorder="1" applyAlignment="1">
      <alignment horizontal="right"/>
    </xf>
    <xf numFmtId="0" fontId="24" fillId="0" borderId="16" xfId="92" applyFont="1" applyBorder="1" applyAlignment="1">
      <alignment wrapText="1"/>
    </xf>
    <xf numFmtId="0" fontId="24" fillId="30" borderId="16" xfId="92" applyFont="1" applyFill="1" applyBorder="1" applyAlignment="1">
      <alignment horizontal="center"/>
    </xf>
    <xf numFmtId="0" fontId="24" fillId="0" borderId="0" xfId="74" applyFont="1"/>
    <xf numFmtId="0" fontId="24" fillId="0" borderId="0" xfId="74" applyFont="1" applyFill="1"/>
    <xf numFmtId="3" fontId="24" fillId="0" borderId="0" xfId="74" applyNumberFormat="1" applyFont="1" applyFill="1"/>
    <xf numFmtId="3" fontId="30" fillId="0" borderId="0" xfId="74" applyNumberFormat="1" applyFont="1" applyFill="1"/>
    <xf numFmtId="0" fontId="30" fillId="0" borderId="0" xfId="74" applyFont="1" applyFill="1"/>
    <xf numFmtId="0" fontId="34" fillId="28" borderId="0" xfId="74" applyFont="1" applyFill="1" applyAlignment="1"/>
    <xf numFmtId="3" fontId="34" fillId="0" borderId="0" xfId="74" applyNumberFormat="1" applyFont="1" applyFill="1" applyAlignment="1"/>
    <xf numFmtId="0" fontId="24" fillId="0" borderId="0" xfId="74" applyFont="1" applyFill="1" applyBorder="1" applyAlignment="1"/>
    <xf numFmtId="0" fontId="24" fillId="0" borderId="0" xfId="74" applyFont="1" applyFill="1" applyAlignment="1"/>
    <xf numFmtId="0" fontId="34" fillId="0" borderId="0" xfId="74" applyFont="1" applyFill="1" applyBorder="1" applyAlignment="1"/>
    <xf numFmtId="0" fontId="34" fillId="0" borderId="0" xfId="74" applyFont="1" applyBorder="1" applyAlignment="1">
      <alignment horizontal="right" wrapText="1"/>
    </xf>
    <xf numFmtId="3" fontId="24" fillId="0" borderId="0" xfId="74" applyNumberFormat="1" applyFont="1" applyFill="1" applyAlignment="1"/>
    <xf numFmtId="0" fontId="24" fillId="0" borderId="76" xfId="74" applyFont="1" applyFill="1" applyBorder="1" applyAlignment="1"/>
    <xf numFmtId="0" fontId="40" fillId="0" borderId="16" xfId="74" applyFont="1" applyFill="1" applyBorder="1"/>
    <xf numFmtId="3" fontId="34" fillId="0" borderId="16" xfId="74" applyNumberFormat="1" applyFont="1" applyFill="1" applyBorder="1" applyAlignment="1">
      <alignment horizontal="right"/>
    </xf>
    <xf numFmtId="0" fontId="34" fillId="0" borderId="16" xfId="74" applyFont="1" applyFill="1" applyBorder="1" applyAlignment="1">
      <alignment horizontal="right"/>
    </xf>
    <xf numFmtId="0" fontId="24" fillId="0" borderId="16" xfId="74" applyFont="1" applyFill="1" applyBorder="1"/>
    <xf numFmtId="3" fontId="24" fillId="0" borderId="16" xfId="74" applyNumberFormat="1" applyFont="1" applyFill="1" applyBorder="1"/>
    <xf numFmtId="0" fontId="34" fillId="0" borderId="16" xfId="74" applyFont="1" applyFill="1" applyBorder="1"/>
    <xf numFmtId="3" fontId="34" fillId="0" borderId="16" xfId="74" applyNumberFormat="1" applyFont="1" applyFill="1" applyBorder="1"/>
    <xf numFmtId="0" fontId="24" fillId="0" borderId="0" xfId="74" applyFont="1" applyBorder="1"/>
    <xf numFmtId="3" fontId="24" fillId="0" borderId="0" xfId="74" applyNumberFormat="1" applyFont="1" applyBorder="1"/>
    <xf numFmtId="3" fontId="30" fillId="0" borderId="0" xfId="74" applyNumberFormat="1" applyFont="1"/>
    <xf numFmtId="0" fontId="30" fillId="0" borderId="0" xfId="74" applyFont="1"/>
    <xf numFmtId="0" fontId="34" fillId="0" borderId="76" xfId="74" applyFont="1" applyFill="1" applyBorder="1" applyAlignment="1"/>
    <xf numFmtId="3" fontId="24" fillId="0" borderId="0" xfId="74" applyNumberFormat="1" applyFont="1"/>
    <xf numFmtId="168" fontId="30" fillId="0" borderId="51" xfId="53" applyNumberFormat="1" applyFont="1" applyBorder="1" applyAlignment="1">
      <alignment horizontal="center" vertical="center"/>
    </xf>
    <xf numFmtId="168" fontId="30" fillId="0" borderId="69" xfId="53" applyNumberFormat="1" applyFont="1" applyBorder="1" applyAlignment="1">
      <alignment vertical="center"/>
    </xf>
    <xf numFmtId="168" fontId="24" fillId="0" borderId="69" xfId="53" applyNumberFormat="1" applyFont="1" applyBorder="1" applyAlignment="1">
      <alignment vertical="center"/>
    </xf>
    <xf numFmtId="0" fontId="30" fillId="0" borderId="51" xfId="89" applyFont="1" applyFill="1" applyBorder="1" applyAlignment="1">
      <alignment horizontal="center" vertical="center" wrapText="1"/>
    </xf>
    <xf numFmtId="3" fontId="24" fillId="31" borderId="69" xfId="87" applyNumberFormat="1" applyFont="1" applyFill="1" applyBorder="1" applyAlignment="1">
      <alignment horizontal="right" vertical="center" wrapText="1"/>
    </xf>
    <xf numFmtId="3" fontId="24" fillId="31" borderId="53" xfId="87" applyNumberFormat="1" applyFont="1" applyFill="1" applyBorder="1" applyAlignment="1">
      <alignment horizontal="right" vertical="center" wrapText="1"/>
    </xf>
    <xf numFmtId="3" fontId="24" fillId="31" borderId="70" xfId="87" applyNumberFormat="1" applyFont="1" applyFill="1" applyBorder="1" applyAlignment="1">
      <alignment horizontal="right" vertical="center" wrapText="1"/>
    </xf>
    <xf numFmtId="3" fontId="24" fillId="0" borderId="53" xfId="69" applyNumberFormat="1" applyFont="1" applyFill="1" applyBorder="1" applyAlignment="1">
      <alignment horizontal="right"/>
    </xf>
    <xf numFmtId="3" fontId="24" fillId="0" borderId="53" xfId="69" applyNumberFormat="1" applyFont="1" applyFill="1" applyBorder="1" applyAlignment="1"/>
    <xf numFmtId="3" fontId="24" fillId="0" borderId="69" xfId="69" applyNumberFormat="1" applyFont="1" applyFill="1" applyBorder="1" applyAlignment="1"/>
    <xf numFmtId="3" fontId="24" fillId="0" borderId="70" xfId="69" applyNumberFormat="1" applyFont="1" applyFill="1" applyBorder="1" applyAlignment="1"/>
    <xf numFmtId="3" fontId="30" fillId="0" borderId="94" xfId="70" applyNumberFormat="1" applyFont="1" applyBorder="1" applyAlignment="1">
      <alignment wrapText="1"/>
    </xf>
    <xf numFmtId="3" fontId="30" fillId="0" borderId="70" xfId="69" applyNumberFormat="1" applyFont="1" applyBorder="1" applyAlignment="1"/>
    <xf numFmtId="168" fontId="24" fillId="30" borderId="53" xfId="53" applyNumberFormat="1" applyFont="1" applyFill="1" applyBorder="1" applyAlignment="1">
      <alignment vertical="center"/>
    </xf>
    <xf numFmtId="168" fontId="30" fillId="30" borderId="53" xfId="53" applyNumberFormat="1" applyFont="1" applyFill="1" applyBorder="1" applyAlignment="1">
      <alignment vertical="center"/>
    </xf>
    <xf numFmtId="168" fontId="34" fillId="30" borderId="53" xfId="53" applyNumberFormat="1" applyFont="1" applyFill="1" applyBorder="1" applyAlignment="1">
      <alignment vertical="center"/>
    </xf>
    <xf numFmtId="168" fontId="30" fillId="30" borderId="53" xfId="53" applyNumberFormat="1" applyFont="1" applyFill="1" applyBorder="1"/>
    <xf numFmtId="168" fontId="30" fillId="30" borderId="95" xfId="53" applyNumberFormat="1" applyFont="1" applyFill="1" applyBorder="1"/>
    <xf numFmtId="168" fontId="24" fillId="30" borderId="53" xfId="53" applyNumberFormat="1" applyFont="1" applyFill="1" applyBorder="1" applyAlignment="1">
      <alignment vertical="center" wrapText="1"/>
    </xf>
    <xf numFmtId="168" fontId="24" fillId="30" borderId="0" xfId="53" applyNumberFormat="1" applyFont="1" applyFill="1" applyBorder="1" applyAlignment="1">
      <alignment vertical="center"/>
    </xf>
    <xf numFmtId="168" fontId="24" fillId="30" borderId="95" xfId="53" applyNumberFormat="1" applyFont="1" applyFill="1" applyBorder="1" applyAlignment="1">
      <alignment vertical="center"/>
    </xf>
    <xf numFmtId="168" fontId="24" fillId="30" borderId="51" xfId="53" applyNumberFormat="1" applyFont="1" applyFill="1" applyBorder="1" applyAlignment="1">
      <alignment vertical="center"/>
    </xf>
    <xf numFmtId="168" fontId="30" fillId="30" borderId="53" xfId="53" applyNumberFormat="1" applyFont="1" applyFill="1" applyBorder="1" applyAlignment="1">
      <alignment horizontal="right" vertical="center" wrapText="1"/>
    </xf>
    <xf numFmtId="3" fontId="33" fillId="0" borderId="29" xfId="69" applyNumberFormat="1" applyFont="1" applyBorder="1" applyAlignment="1">
      <alignment wrapText="1"/>
    </xf>
    <xf numFmtId="0" fontId="33" fillId="0" borderId="29" xfId="0" applyFont="1" applyFill="1" applyBorder="1" applyAlignment="1">
      <alignment horizontal="left" wrapText="1"/>
    </xf>
    <xf numFmtId="168" fontId="30" fillId="0" borderId="51" xfId="53" applyNumberFormat="1" applyFont="1" applyFill="1" applyBorder="1" applyAlignment="1">
      <alignment horizontal="center" vertical="center" wrapText="1"/>
    </xf>
    <xf numFmtId="3" fontId="24" fillId="0" borderId="53" xfId="0" applyNumberFormat="1" applyFont="1" applyFill="1" applyBorder="1"/>
    <xf numFmtId="168" fontId="30" fillId="0" borderId="53" xfId="53" applyNumberFormat="1" applyFont="1" applyFill="1" applyBorder="1" applyAlignment="1">
      <alignment horizontal="center" vertical="center" wrapText="1"/>
    </xf>
    <xf numFmtId="168" fontId="24" fillId="0" borderId="53" xfId="53" applyNumberFormat="1" applyFont="1" applyFill="1" applyBorder="1"/>
    <xf numFmtId="168" fontId="24" fillId="32" borderId="53" xfId="53" applyNumberFormat="1" applyFont="1" applyFill="1" applyBorder="1"/>
    <xf numFmtId="168" fontId="24" fillId="0" borderId="70" xfId="53" applyNumberFormat="1" applyFont="1" applyFill="1" applyBorder="1"/>
    <xf numFmtId="0" fontId="24" fillId="0" borderId="29" xfId="87" applyFont="1" applyBorder="1" applyAlignment="1">
      <alignment horizontal="left" vertical="center" wrapText="1"/>
    </xf>
    <xf numFmtId="0" fontId="24" fillId="0" borderId="84" xfId="0" applyFont="1" applyFill="1" applyBorder="1" applyAlignment="1">
      <alignment horizontal="left" wrapText="1"/>
    </xf>
    <xf numFmtId="3" fontId="24" fillId="31" borderId="61" xfId="87" applyNumberFormat="1" applyFont="1" applyFill="1" applyBorder="1" applyAlignment="1">
      <alignment horizontal="right" vertical="center" wrapText="1"/>
    </xf>
    <xf numFmtId="3" fontId="24" fillId="31" borderId="81" xfId="87" applyNumberFormat="1" applyFont="1" applyFill="1" applyBorder="1" applyAlignment="1">
      <alignment horizontal="right" vertical="center" wrapText="1"/>
    </xf>
    <xf numFmtId="0" fontId="30" fillId="0" borderId="44" xfId="89" applyFont="1" applyFill="1" applyBorder="1" applyAlignment="1">
      <alignment horizontal="center" vertical="center" wrapText="1"/>
    </xf>
    <xf numFmtId="3" fontId="24" fillId="0" borderId="53" xfId="75" applyNumberFormat="1" applyFont="1" applyBorder="1"/>
    <xf numFmtId="3" fontId="30" fillId="0" borderId="53" xfId="75" applyNumberFormat="1" applyFont="1" applyBorder="1"/>
    <xf numFmtId="3" fontId="24" fillId="0" borderId="53" xfId="75" applyNumberFormat="1" applyFont="1" applyFill="1" applyBorder="1"/>
    <xf numFmtId="3" fontId="24" fillId="0" borderId="94" xfId="75" applyNumberFormat="1" applyFont="1" applyBorder="1"/>
    <xf numFmtId="3" fontId="24" fillId="31" borderId="20" xfId="87" applyNumberFormat="1" applyFont="1" applyFill="1" applyBorder="1" applyAlignment="1">
      <alignment horizontal="right" wrapText="1"/>
    </xf>
    <xf numFmtId="3" fontId="24" fillId="31" borderId="53" xfId="87" applyNumberFormat="1" applyFont="1" applyFill="1" applyBorder="1" applyAlignment="1">
      <alignment horizontal="right" wrapText="1"/>
    </xf>
    <xf numFmtId="3" fontId="30" fillId="30" borderId="96" xfId="89" applyNumberFormat="1" applyFont="1" applyFill="1" applyBorder="1" applyAlignment="1">
      <alignment horizontal="right" vertical="center" wrapText="1"/>
    </xf>
    <xf numFmtId="3" fontId="24" fillId="0" borderId="20" xfId="89" applyNumberFormat="1" applyFont="1" applyFill="1" applyBorder="1" applyAlignment="1">
      <alignment vertical="center"/>
    </xf>
    <xf numFmtId="3" fontId="24" fillId="30" borderId="20" xfId="89" applyNumberFormat="1" applyFont="1" applyFill="1" applyBorder="1" applyAlignment="1">
      <alignment vertical="center"/>
    </xf>
    <xf numFmtId="0" fontId="33" fillId="0" borderId="75" xfId="0" applyFont="1" applyBorder="1" applyAlignment="1">
      <alignment horizontal="left" wrapText="1" indent="5"/>
    </xf>
    <xf numFmtId="3" fontId="33" fillId="0" borderId="46" xfId="75" applyNumberFormat="1" applyFont="1" applyBorder="1"/>
    <xf numFmtId="3" fontId="33" fillId="0" borderId="47" xfId="75" applyNumberFormat="1" applyFont="1" applyBorder="1"/>
    <xf numFmtId="3" fontId="33" fillId="0" borderId="53" xfId="69" applyNumberFormat="1" applyFont="1" applyFill="1" applyBorder="1" applyAlignment="1">
      <alignment horizontal="right"/>
    </xf>
    <xf numFmtId="0" fontId="30" fillId="31" borderId="29" xfId="0" applyFont="1" applyFill="1" applyBorder="1" applyAlignment="1">
      <alignment wrapText="1"/>
    </xf>
    <xf numFmtId="3" fontId="30" fillId="31" borderId="20" xfId="76" applyNumberFormat="1" applyFont="1" applyFill="1" applyBorder="1"/>
    <xf numFmtId="3" fontId="30" fillId="31" borderId="38" xfId="0" applyNumberFormat="1" applyFont="1" applyFill="1" applyBorder="1"/>
    <xf numFmtId="0" fontId="24" fillId="0" borderId="22" xfId="87" applyFont="1" applyFill="1" applyBorder="1" applyAlignment="1">
      <alignment wrapText="1"/>
    </xf>
    <xf numFmtId="3" fontId="24" fillId="0" borderId="70" xfId="89" applyNumberFormat="1" applyFont="1" applyFill="1" applyBorder="1" applyAlignment="1">
      <alignment vertical="center"/>
    </xf>
    <xf numFmtId="3" fontId="24" fillId="0" borderId="40" xfId="89" applyNumberFormat="1" applyFont="1" applyFill="1" applyBorder="1" applyAlignment="1">
      <alignment vertical="center"/>
    </xf>
    <xf numFmtId="0" fontId="24" fillId="0" borderId="20" xfId="87" applyFont="1" applyFill="1" applyBorder="1" applyAlignment="1">
      <alignment wrapText="1"/>
    </xf>
    <xf numFmtId="3" fontId="24" fillId="30" borderId="68" xfId="89" applyNumberFormat="1" applyFont="1" applyFill="1" applyBorder="1" applyAlignment="1">
      <alignment horizontal="right" wrapText="1"/>
    </xf>
    <xf numFmtId="3" fontId="24" fillId="30" borderId="97" xfId="89" applyNumberFormat="1" applyFont="1" applyFill="1" applyBorder="1" applyAlignment="1">
      <alignment horizontal="right" vertical="center" wrapText="1"/>
    </xf>
    <xf numFmtId="3" fontId="30" fillId="30" borderId="69" xfId="76" applyNumberFormat="1" applyFont="1" applyFill="1" applyBorder="1" applyAlignment="1">
      <alignment horizontal="right"/>
    </xf>
    <xf numFmtId="3" fontId="30" fillId="30" borderId="53" xfId="76" applyNumberFormat="1" applyFont="1" applyFill="1" applyBorder="1" applyAlignment="1">
      <alignment horizontal="right"/>
    </xf>
    <xf numFmtId="3" fontId="30" fillId="0" borderId="53" xfId="0" applyNumberFormat="1" applyFont="1" applyBorder="1" applyAlignment="1">
      <alignment horizontal="right"/>
    </xf>
    <xf numFmtId="3" fontId="24" fillId="0" borderId="53" xfId="0" applyNumberFormat="1" applyFont="1" applyBorder="1" applyAlignment="1">
      <alignment horizontal="right"/>
    </xf>
    <xf numFmtId="3" fontId="24" fillId="30" borderId="53" xfId="76" applyNumberFormat="1" applyFont="1" applyFill="1" applyBorder="1" applyAlignment="1">
      <alignment horizontal="right"/>
    </xf>
    <xf numFmtId="0" fontId="24" fillId="0" borderId="53" xfId="0" applyFont="1" applyBorder="1"/>
    <xf numFmtId="3" fontId="24" fillId="0" borderId="53" xfId="76" applyNumberFormat="1" applyFont="1" applyBorder="1"/>
    <xf numFmtId="3" fontId="24" fillId="0" borderId="53" xfId="76" applyNumberFormat="1" applyFont="1" applyFill="1" applyBorder="1"/>
    <xf numFmtId="3" fontId="30" fillId="0" borderId="53" xfId="76" applyNumberFormat="1" applyFont="1" applyBorder="1"/>
    <xf numFmtId="3" fontId="24" fillId="0" borderId="53" xfId="0" applyNumberFormat="1" applyFont="1" applyBorder="1"/>
    <xf numFmtId="3" fontId="30" fillId="0" borderId="53" xfId="0" applyNumberFormat="1" applyFont="1" applyFill="1" applyBorder="1"/>
    <xf numFmtId="3" fontId="30" fillId="31" borderId="53" xfId="0" applyNumberFormat="1" applyFont="1" applyFill="1" applyBorder="1"/>
    <xf numFmtId="3" fontId="30" fillId="30" borderId="53" xfId="76" applyNumberFormat="1" applyFont="1" applyFill="1" applyBorder="1"/>
    <xf numFmtId="3" fontId="24" fillId="30" borderId="53" xfId="76" applyNumberFormat="1" applyFont="1" applyFill="1" applyBorder="1"/>
    <xf numFmtId="168" fontId="24" fillId="0" borderId="53" xfId="53" applyNumberFormat="1" applyFont="1" applyBorder="1"/>
    <xf numFmtId="168" fontId="24" fillId="0" borderId="98" xfId="53" applyNumberFormat="1" applyFont="1" applyBorder="1"/>
    <xf numFmtId="168" fontId="30" fillId="0" borderId="53" xfId="53" applyNumberFormat="1" applyFont="1" applyBorder="1"/>
    <xf numFmtId="3" fontId="30" fillId="0" borderId="51" xfId="76" applyNumberFormat="1" applyFont="1" applyBorder="1"/>
    <xf numFmtId="3" fontId="24" fillId="0" borderId="99" xfId="0" applyNumberFormat="1" applyFont="1" applyBorder="1"/>
    <xf numFmtId="3" fontId="24" fillId="0" borderId="100" xfId="0" applyNumberFormat="1" applyFont="1" applyBorder="1"/>
    <xf numFmtId="3" fontId="24" fillId="0" borderId="101" xfId="0" applyNumberFormat="1" applyFont="1" applyBorder="1"/>
    <xf numFmtId="3" fontId="30" fillId="0" borderId="43" xfId="0" applyNumberFormat="1" applyFont="1" applyBorder="1"/>
    <xf numFmtId="0" fontId="30" fillId="30" borderId="21" xfId="87" applyFont="1" applyFill="1" applyBorder="1" applyAlignment="1">
      <alignment wrapText="1"/>
    </xf>
    <xf numFmtId="0" fontId="24" fillId="31" borderId="29" xfId="0" applyFont="1" applyFill="1" applyBorder="1" applyAlignment="1">
      <alignment wrapText="1"/>
    </xf>
    <xf numFmtId="3" fontId="24" fillId="31" borderId="53" xfId="0" applyNumberFormat="1" applyFont="1" applyFill="1" applyBorder="1"/>
    <xf numFmtId="3" fontId="24" fillId="31" borderId="38" xfId="0" applyNumberFormat="1" applyFont="1" applyFill="1" applyBorder="1"/>
    <xf numFmtId="168" fontId="30" fillId="0" borderId="40" xfId="53" applyNumberFormat="1" applyFont="1" applyFill="1" applyBorder="1"/>
    <xf numFmtId="3" fontId="30" fillId="0" borderId="99" xfId="0" applyNumberFormat="1" applyFont="1" applyBorder="1"/>
    <xf numFmtId="168" fontId="24" fillId="0" borderId="70" xfId="53" applyNumberFormat="1" applyFont="1" applyFill="1" applyBorder="1" applyAlignment="1"/>
    <xf numFmtId="3" fontId="30" fillId="0" borderId="0" xfId="72" applyNumberFormat="1" applyFont="1"/>
    <xf numFmtId="0" fontId="30" fillId="0" borderId="33" xfId="89" applyFont="1" applyBorder="1" applyAlignment="1">
      <alignment horizontal="center" vertical="center" wrapText="1"/>
    </xf>
    <xf numFmtId="0" fontId="30" fillId="0" borderId="34" xfId="89" applyFont="1" applyBorder="1" applyAlignment="1">
      <alignment horizontal="center" vertical="center" wrapText="1"/>
    </xf>
    <xf numFmtId="0" fontId="24" fillId="0" borderId="38" xfId="75" applyFont="1" applyBorder="1"/>
    <xf numFmtId="0" fontId="30" fillId="0" borderId="38" xfId="75" applyFont="1" applyBorder="1"/>
    <xf numFmtId="168" fontId="24" fillId="0" borderId="36" xfId="53" applyNumberFormat="1" applyFont="1" applyBorder="1"/>
    <xf numFmtId="168" fontId="24" fillId="0" borderId="24" xfId="53" applyNumberFormat="1" applyFont="1" applyBorder="1"/>
    <xf numFmtId="0" fontId="24" fillId="0" borderId="24" xfId="75" applyFont="1" applyBorder="1"/>
    <xf numFmtId="0" fontId="24" fillId="0" borderId="40" xfId="75" applyFont="1" applyBorder="1"/>
    <xf numFmtId="168" fontId="30" fillId="0" borderId="31" xfId="53" applyNumberFormat="1" applyFont="1" applyBorder="1"/>
    <xf numFmtId="0" fontId="30" fillId="0" borderId="31" xfId="75" applyFont="1" applyBorder="1"/>
    <xf numFmtId="0" fontId="30" fillId="0" borderId="102" xfId="75" applyFont="1" applyBorder="1"/>
    <xf numFmtId="0" fontId="30" fillId="0" borderId="103" xfId="75" applyFont="1" applyBorder="1"/>
    <xf numFmtId="0" fontId="24" fillId="0" borderId="104" xfId="75" applyFont="1" applyBorder="1" applyAlignment="1">
      <alignment wrapText="1"/>
    </xf>
    <xf numFmtId="0" fontId="24" fillId="0" borderId="105" xfId="75" applyFont="1" applyBorder="1" applyAlignment="1">
      <alignment wrapText="1"/>
    </xf>
    <xf numFmtId="0" fontId="24" fillId="0" borderId="105" xfId="75" applyFont="1" applyFill="1" applyBorder="1" applyAlignment="1">
      <alignment wrapText="1"/>
    </xf>
    <xf numFmtId="0" fontId="30" fillId="0" borderId="105" xfId="75" applyFont="1" applyBorder="1" applyAlignment="1">
      <alignment wrapText="1"/>
    </xf>
    <xf numFmtId="0" fontId="30" fillId="0" borderId="106" xfId="75" applyFont="1" applyBorder="1" applyAlignment="1">
      <alignment wrapText="1"/>
    </xf>
    <xf numFmtId="0" fontId="30" fillId="0" borderId="80" xfId="89" applyFont="1" applyBorder="1" applyAlignment="1">
      <alignment horizontal="center" vertical="center" wrapText="1"/>
    </xf>
    <xf numFmtId="0" fontId="30" fillId="0" borderId="107" xfId="89" applyFont="1" applyBorder="1" applyAlignment="1">
      <alignment horizontal="center" vertical="center" wrapText="1"/>
    </xf>
    <xf numFmtId="0" fontId="30" fillId="0" borderId="79" xfId="89" applyFont="1" applyBorder="1" applyAlignment="1">
      <alignment horizontal="center" vertical="center" wrapText="1"/>
    </xf>
    <xf numFmtId="0" fontId="24" fillId="0" borderId="48" xfId="75" applyFont="1" applyBorder="1" applyAlignment="1">
      <alignment wrapText="1"/>
    </xf>
    <xf numFmtId="0" fontId="24" fillId="0" borderId="24" xfId="75" applyFont="1" applyBorder="1" applyAlignment="1">
      <alignment wrapText="1"/>
    </xf>
    <xf numFmtId="0" fontId="24" fillId="0" borderId="17" xfId="75" applyFont="1" applyBorder="1"/>
    <xf numFmtId="168" fontId="24" fillId="0" borderId="18" xfId="75" applyNumberFormat="1" applyFont="1" applyBorder="1"/>
    <xf numFmtId="3" fontId="30" fillId="0" borderId="18" xfId="75" applyNumberFormat="1" applyFont="1" applyBorder="1"/>
    <xf numFmtId="3" fontId="24" fillId="0" borderId="18" xfId="75" applyNumberFormat="1" applyFont="1" applyBorder="1"/>
    <xf numFmtId="0" fontId="30" fillId="0" borderId="18" xfId="75" applyFont="1" applyBorder="1" applyAlignment="1">
      <alignment wrapText="1"/>
    </xf>
    <xf numFmtId="0" fontId="24" fillId="0" borderId="18" xfId="75" applyFont="1" applyBorder="1"/>
    <xf numFmtId="0" fontId="30" fillId="0" borderId="18" xfId="75" applyFont="1" applyBorder="1"/>
    <xf numFmtId="3" fontId="30" fillId="0" borderId="45" xfId="75" applyNumberFormat="1" applyFont="1" applyBorder="1"/>
    <xf numFmtId="0" fontId="24" fillId="0" borderId="63" xfId="75" applyFont="1" applyBorder="1" applyAlignment="1">
      <alignment wrapText="1"/>
    </xf>
    <xf numFmtId="0" fontId="30" fillId="0" borderId="38" xfId="75" applyFont="1" applyBorder="1" applyAlignment="1">
      <alignment wrapText="1"/>
    </xf>
    <xf numFmtId="0" fontId="30" fillId="0" borderId="65" xfId="75" applyFont="1" applyBorder="1" applyAlignment="1">
      <alignment wrapText="1"/>
    </xf>
    <xf numFmtId="0" fontId="30" fillId="0" borderId="83" xfId="89" applyFont="1" applyBorder="1" applyAlignment="1">
      <alignment horizontal="center" vertical="center" wrapText="1"/>
    </xf>
    <xf numFmtId="0" fontId="24" fillId="0" borderId="108" xfId="75" applyFont="1" applyBorder="1"/>
    <xf numFmtId="168" fontId="24" fillId="0" borderId="99" xfId="75" applyNumberFormat="1" applyFont="1" applyBorder="1"/>
    <xf numFmtId="3" fontId="30" fillId="0" borderId="99" xfId="75" applyNumberFormat="1" applyFont="1" applyBorder="1"/>
    <xf numFmtId="3" fontId="24" fillId="0" borderId="99" xfId="75" applyNumberFormat="1" applyFont="1" applyBorder="1"/>
    <xf numFmtId="3" fontId="30" fillId="0" borderId="109" xfId="75" applyNumberFormat="1" applyFont="1" applyBorder="1"/>
    <xf numFmtId="0" fontId="30" fillId="0" borderId="0" xfId="89" applyFont="1" applyAlignment="1">
      <alignment horizontal="center" vertical="center" wrapText="1"/>
    </xf>
    <xf numFmtId="0" fontId="30" fillId="30" borderId="0" xfId="89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08" xfId="0" applyFont="1" applyBorder="1" applyAlignment="1">
      <alignment horizontal="center"/>
    </xf>
    <xf numFmtId="0" fontId="30" fillId="0" borderId="109" xfId="0" applyFont="1" applyBorder="1" applyAlignment="1">
      <alignment horizontal="center"/>
    </xf>
    <xf numFmtId="0" fontId="30" fillId="30" borderId="94" xfId="76" applyFont="1" applyFill="1" applyBorder="1" applyAlignment="1">
      <alignment horizontal="center" vertical="center"/>
    </xf>
    <xf numFmtId="0" fontId="30" fillId="30" borderId="95" xfId="76" applyFont="1" applyFill="1" applyBorder="1" applyAlignment="1">
      <alignment horizontal="center" vertical="center"/>
    </xf>
    <xf numFmtId="0" fontId="30" fillId="0" borderId="28" xfId="76" applyFont="1" applyFill="1" applyBorder="1" applyAlignment="1">
      <alignment horizontal="center" vertical="center"/>
    </xf>
    <xf numFmtId="0" fontId="30" fillId="0" borderId="75" xfId="76" applyFont="1" applyFill="1" applyBorder="1" applyAlignment="1">
      <alignment horizontal="center" vertical="center"/>
    </xf>
    <xf numFmtId="0" fontId="30" fillId="0" borderId="33" xfId="76" applyFont="1" applyBorder="1" applyAlignment="1">
      <alignment horizontal="center" vertical="center"/>
    </xf>
    <xf numFmtId="0" fontId="30" fillId="0" borderId="46" xfId="76" applyFont="1" applyBorder="1" applyAlignment="1">
      <alignment horizontal="center" vertical="center"/>
    </xf>
    <xf numFmtId="0" fontId="30" fillId="0" borderId="33" xfId="76" applyFont="1" applyFill="1" applyBorder="1" applyAlignment="1">
      <alignment horizontal="center" vertical="center"/>
    </xf>
    <xf numFmtId="0" fontId="30" fillId="0" borderId="46" xfId="76" applyFont="1" applyFill="1" applyBorder="1" applyAlignment="1">
      <alignment horizontal="center" vertical="center"/>
    </xf>
    <xf numFmtId="0" fontId="30" fillId="30" borderId="33" xfId="76" applyFont="1" applyFill="1" applyBorder="1" applyAlignment="1">
      <alignment horizontal="center" vertical="center"/>
    </xf>
    <xf numFmtId="0" fontId="30" fillId="30" borderId="46" xfId="76" applyFont="1" applyFill="1" applyBorder="1" applyAlignment="1">
      <alignment horizontal="center" vertical="center"/>
    </xf>
    <xf numFmtId="0" fontId="30" fillId="30" borderId="33" xfId="76" applyFont="1" applyFill="1" applyBorder="1" applyAlignment="1">
      <alignment horizontal="center" vertical="center" wrapText="1"/>
    </xf>
    <xf numFmtId="0" fontId="30" fillId="30" borderId="46" xfId="76" applyFont="1" applyFill="1" applyBorder="1" applyAlignment="1">
      <alignment horizontal="center" vertical="center" wrapText="1"/>
    </xf>
    <xf numFmtId="0" fontId="30" fillId="30" borderId="34" xfId="76" applyFont="1" applyFill="1" applyBorder="1" applyAlignment="1">
      <alignment horizontal="center" vertical="center"/>
    </xf>
    <xf numFmtId="0" fontId="30" fillId="30" borderId="47" xfId="76" applyFont="1" applyFill="1" applyBorder="1" applyAlignment="1">
      <alignment horizontal="center" vertical="center"/>
    </xf>
    <xf numFmtId="0" fontId="30" fillId="0" borderId="110" xfId="75" applyFont="1" applyBorder="1" applyAlignment="1">
      <alignment horizontal="center" vertical="center" wrapText="1"/>
    </xf>
    <xf numFmtId="0" fontId="30" fillId="0" borderId="107" xfId="75" applyFont="1" applyBorder="1" applyAlignment="1">
      <alignment horizontal="center" vertical="center" wrapText="1"/>
    </xf>
    <xf numFmtId="0" fontId="30" fillId="0" borderId="83" xfId="75" applyFont="1" applyBorder="1" applyAlignment="1">
      <alignment horizontal="center" vertical="center" wrapText="1"/>
    </xf>
    <xf numFmtId="0" fontId="30" fillId="0" borderId="111" xfId="75" applyFont="1" applyBorder="1" applyAlignment="1">
      <alignment horizontal="center" vertical="center" wrapText="1"/>
    </xf>
    <xf numFmtId="0" fontId="30" fillId="0" borderId="112" xfId="75" applyFont="1" applyBorder="1" applyAlignment="1">
      <alignment horizontal="center" vertical="center" wrapText="1"/>
    </xf>
    <xf numFmtId="0" fontId="30" fillId="0" borderId="89" xfId="75" applyFont="1" applyBorder="1" applyAlignment="1">
      <alignment horizontal="center" vertical="center" wrapText="1"/>
    </xf>
    <xf numFmtId="0" fontId="30" fillId="0" borderId="0" xfId="84" applyFont="1" applyFill="1" applyAlignment="1">
      <alignment horizontal="center" vertical="center" wrapText="1"/>
    </xf>
    <xf numFmtId="3" fontId="30" fillId="0" borderId="0" xfId="70" applyNumberFormat="1" applyFont="1" applyAlignment="1">
      <alignment horizontal="center" vertical="center" wrapText="1"/>
    </xf>
    <xf numFmtId="0" fontId="30" fillId="0" borderId="0" xfId="75" applyFont="1" applyBorder="1" applyAlignment="1">
      <alignment horizontal="center"/>
    </xf>
    <xf numFmtId="0" fontId="30" fillId="0" borderId="0" xfId="75" applyFont="1" applyBorder="1" applyAlignment="1">
      <alignment horizontal="center" vertical="center"/>
    </xf>
    <xf numFmtId="0" fontId="30" fillId="0" borderId="0" xfId="79" applyFont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71" applyFont="1" applyBorder="1" applyAlignment="1">
      <alignment horizontal="center" wrapText="1"/>
    </xf>
    <xf numFmtId="0" fontId="30" fillId="0" borderId="0" xfId="80" applyFont="1" applyAlignment="1">
      <alignment horizontal="center"/>
    </xf>
    <xf numFmtId="0" fontId="30" fillId="0" borderId="0" xfId="73" applyFont="1" applyBorder="1" applyAlignment="1">
      <alignment horizontal="center"/>
    </xf>
    <xf numFmtId="0" fontId="30" fillId="0" borderId="16" xfId="92" applyFont="1" applyBorder="1" applyAlignment="1">
      <alignment horizontal="center" wrapText="1"/>
    </xf>
    <xf numFmtId="0" fontId="30" fillId="0" borderId="19" xfId="92" applyFont="1" applyBorder="1" applyAlignment="1">
      <alignment horizontal="center" wrapText="1"/>
    </xf>
    <xf numFmtId="0" fontId="24" fillId="0" borderId="77" xfId="74" applyFont="1" applyFill="1" applyBorder="1" applyAlignment="1"/>
    <xf numFmtId="0" fontId="24" fillId="0" borderId="0" xfId="74" applyFont="1" applyAlignment="1">
      <alignment horizontal="center" vertical="center" wrapText="1"/>
    </xf>
    <xf numFmtId="0" fontId="19" fillId="0" borderId="0" xfId="74" applyFont="1" applyFill="1" applyBorder="1" applyAlignment="1">
      <alignment horizontal="center"/>
    </xf>
    <xf numFmtId="0" fontId="28" fillId="0" borderId="10" xfId="74" applyFont="1" applyBorder="1" applyAlignment="1">
      <alignment horizontal="center"/>
    </xf>
  </cellXfs>
  <cellStyles count="9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planatory Text" xfId="52"/>
    <cellStyle name="Ezres" xfId="53" builtinId="3"/>
    <cellStyle name="Ezres 2" xfId="54"/>
    <cellStyle name="Ezres 3" xfId="55"/>
    <cellStyle name="Figyelmeztetés" xfId="56" builtinId="11" customBuiltin="1"/>
    <cellStyle name="Good" xfId="57"/>
    <cellStyle name="Heading 1" xfId="58"/>
    <cellStyle name="Heading 2" xfId="59"/>
    <cellStyle name="Heading 3" xfId="60"/>
    <cellStyle name="Heading 4" xfId="61"/>
    <cellStyle name="Hivatkozott cella" xfId="62" builtinId="24" customBuiltin="1"/>
    <cellStyle name="Input" xfId="63"/>
    <cellStyle name="Jegyzet" xfId="64" builtinId="10" customBuiltin="1"/>
    <cellStyle name="Kimenet" xfId="65" builtinId="21" customBuiltin="1"/>
    <cellStyle name="Linked Cell" xfId="66"/>
    <cellStyle name="Neutral" xfId="67"/>
    <cellStyle name="Normál" xfId="0" builtinId="0"/>
    <cellStyle name="Normál 2" xfId="68"/>
    <cellStyle name="Normál_2007_Koncepció táblák" xfId="69"/>
    <cellStyle name="Normál_2007_Koncepció táblák_2013. évi költségvetés I." xfId="70"/>
    <cellStyle name="Normál_2012. évi költségvetés I. módosítás VÉGLEGES" xfId="71"/>
    <cellStyle name="Normál_2012. évi költségvetés IV. módosítás" xfId="72"/>
    <cellStyle name="Normál_2013 évi költségvetéshez 2013.02.19." xfId="73"/>
    <cellStyle name="Normál_2013 évi költségvetéshez 2013.02.19._2014 évi költségvetés Tündi táblák" xfId="74"/>
    <cellStyle name="Normál_2013. évi költségvetés I." xfId="75"/>
    <cellStyle name="Normál_2013. évi költségvetés I._2013. évi költségvetés előirányzat nyilvántartás" xfId="76"/>
    <cellStyle name="Normál_2013. évi költségvetés I._2013. évi költségvetés II. forduló testületi előterjesztés" xfId="77"/>
    <cellStyle name="Normál_2013. évi költségvetés I._iNTÉZMÉNYI NORMATÍVA 2014" xfId="78"/>
    <cellStyle name="Normál_2013. évi költségvetés II. forduló testületi előterjesztés" xfId="79"/>
    <cellStyle name="Normál_2013. évi költségvetés II. forduló testületi előterjesztés2." xfId="80"/>
    <cellStyle name="Normál_2014. évi kv. 6. tábla_kitöltve_szűkített II.fordulóhoz 2" xfId="81"/>
    <cellStyle name="Normál_4. sz. melléklet" xfId="82"/>
    <cellStyle name="Normal_KARSZJ3" xfId="83"/>
    <cellStyle name="Normál_költségvetés10melléklet" xfId="84"/>
    <cellStyle name="Normál_költségvetés10melléklet_2013. évi költségvetés I." xfId="85"/>
    <cellStyle name="Normal_KTRSZJ" xfId="86"/>
    <cellStyle name="Normál_Másolat eredetijeKÖLTSÉGVETÉS2005új1" xfId="87"/>
    <cellStyle name="Normál_Másolat eredetijeKÖLTSÉGVETÉS2005új1 2" xfId="88"/>
    <cellStyle name="Normál_Másolat eredetijeKÖLTSÉGVETÉS2005új1_2013. évi költségvetés I." xfId="89"/>
    <cellStyle name="Normál_Másolat eredetijeKÖLTSÉGVETÉS2005új1_2013. évi költségvetés II. forduló testületi előterjesztés" xfId="90"/>
    <cellStyle name="Normál_Munka4" xfId="91"/>
    <cellStyle name="Normál_Munka4_2013 évi költségvetéshez 2013.02.19." xfId="92"/>
    <cellStyle name="Note" xfId="93"/>
    <cellStyle name="Output" xfId="94"/>
    <cellStyle name="Összesen" xfId="95" builtinId="25" customBuiltin="1"/>
    <cellStyle name="Title" xfId="96"/>
    <cellStyle name="Total" xfId="97"/>
    <cellStyle name="Warning Text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55"/>
  <sheetViews>
    <sheetView tabSelected="1" view="pageLayout" topLeftCell="A3" zoomScaleNormal="75" zoomScaleSheetLayoutView="89" workbookViewId="0">
      <selection activeCell="C14" sqref="C14"/>
    </sheetView>
  </sheetViews>
  <sheetFormatPr defaultColWidth="9.140625" defaultRowHeight="15.75" x14ac:dyDescent="0.25"/>
  <cols>
    <col min="1" max="1" width="40.42578125" style="399" customWidth="1"/>
    <col min="2" max="2" width="17.140625" style="38" customWidth="1"/>
    <col min="3" max="4" width="20.42578125" style="391" customWidth="1"/>
    <col min="5" max="5" width="18" style="38" customWidth="1"/>
    <col min="6" max="6" width="9.140625" style="38"/>
    <col min="7" max="8" width="16.28515625" style="38" bestFit="1" customWidth="1"/>
    <col min="9" max="16384" width="9.140625" style="38"/>
  </cols>
  <sheetData>
    <row r="1" spans="1:5" ht="16.5" hidden="1" thickBot="1" x14ac:dyDescent="0.3">
      <c r="A1" s="36"/>
    </row>
    <row r="2" spans="1:5" ht="16.5" hidden="1" thickBot="1" x14ac:dyDescent="0.3">
      <c r="A2" s="36"/>
    </row>
    <row r="3" spans="1:5" x14ac:dyDescent="0.25">
      <c r="A3" s="36"/>
    </row>
    <row r="4" spans="1:5" ht="30.75" customHeight="1" x14ac:dyDescent="0.25">
      <c r="A4" s="823" t="s">
        <v>539</v>
      </c>
      <c r="B4" s="823"/>
      <c r="C4" s="823"/>
      <c r="D4" s="823"/>
      <c r="E4" s="823"/>
    </row>
    <row r="5" spans="1:5" ht="16.5" thickBot="1" x14ac:dyDescent="0.3">
      <c r="A5" s="36"/>
    </row>
    <row r="6" spans="1:5" s="393" customFormat="1" ht="56.25" customHeight="1" thickBot="1" x14ac:dyDescent="0.25">
      <c r="A6" s="389" t="s">
        <v>234</v>
      </c>
      <c r="B6" s="392" t="s">
        <v>529</v>
      </c>
      <c r="C6" s="412" t="s">
        <v>530</v>
      </c>
      <c r="D6" s="696" t="s">
        <v>548</v>
      </c>
      <c r="E6" s="413" t="s">
        <v>531</v>
      </c>
    </row>
    <row r="7" spans="1:5" ht="31.5" x14ac:dyDescent="0.25">
      <c r="A7" s="430" t="s">
        <v>4</v>
      </c>
      <c r="B7" s="400">
        <f>'2.sz.tábla'!B5</f>
        <v>30310196</v>
      </c>
      <c r="C7" s="400">
        <f>'2.sz.tábla'!C5</f>
        <v>31538654</v>
      </c>
      <c r="D7" s="400">
        <f>'2.sz.tábla'!D5</f>
        <v>34179452</v>
      </c>
      <c r="E7" s="414">
        <f t="shared" ref="E7:E14" si="0">D7-C7</f>
        <v>2640798</v>
      </c>
    </row>
    <row r="8" spans="1:5" ht="31.5" x14ac:dyDescent="0.25">
      <c r="A8" s="407" t="s">
        <v>5</v>
      </c>
      <c r="B8" s="401">
        <f>'2.sz.tábla'!B21</f>
        <v>0</v>
      </c>
      <c r="C8" s="401">
        <f>'2.sz.tábla'!C21</f>
        <v>0</v>
      </c>
      <c r="D8" s="401">
        <f>'2.sz.tábla'!D21</f>
        <v>0</v>
      </c>
      <c r="E8" s="414">
        <f t="shared" si="0"/>
        <v>0</v>
      </c>
    </row>
    <row r="9" spans="1:5" ht="18" customHeight="1" x14ac:dyDescent="0.25">
      <c r="A9" s="407" t="s">
        <v>6</v>
      </c>
      <c r="B9" s="401">
        <f>'2.sz.tábla'!B33</f>
        <v>20450000</v>
      </c>
      <c r="C9" s="401">
        <f>'2.sz.tábla'!C33</f>
        <v>20450000</v>
      </c>
      <c r="D9" s="401">
        <f>'2.sz.tábla'!D33</f>
        <v>20450000</v>
      </c>
      <c r="E9" s="414">
        <f t="shared" si="0"/>
        <v>0</v>
      </c>
    </row>
    <row r="10" spans="1:5" ht="18" customHeight="1" x14ac:dyDescent="0.25">
      <c r="A10" s="407" t="s">
        <v>7</v>
      </c>
      <c r="B10" s="401">
        <f>'2.sz.tábla'!B47</f>
        <v>7300000</v>
      </c>
      <c r="C10" s="401">
        <f>'2.sz.tábla'!C47</f>
        <v>7300000</v>
      </c>
      <c r="D10" s="401">
        <f>'2.sz.tábla'!D47</f>
        <v>7300000</v>
      </c>
      <c r="E10" s="414">
        <f t="shared" si="0"/>
        <v>0</v>
      </c>
    </row>
    <row r="11" spans="1:5" ht="18" customHeight="1" x14ac:dyDescent="0.25">
      <c r="A11" s="407" t="s">
        <v>8</v>
      </c>
      <c r="B11" s="401">
        <f>'2.sz.tábla'!B60</f>
        <v>0</v>
      </c>
      <c r="C11" s="401">
        <f>'2.sz.tábla'!C60</f>
        <v>0</v>
      </c>
      <c r="D11" s="401">
        <f>'2.sz.tábla'!D60</f>
        <v>0</v>
      </c>
      <c r="E11" s="414">
        <f t="shared" si="0"/>
        <v>0</v>
      </c>
    </row>
    <row r="12" spans="1:5" ht="16.5" customHeight="1" x14ac:dyDescent="0.25">
      <c r="A12" s="408" t="s">
        <v>9</v>
      </c>
      <c r="B12" s="401">
        <f>'2.sz.tábla'!B66</f>
        <v>0</v>
      </c>
      <c r="C12" s="401">
        <f>'2.sz.tábla'!C66</f>
        <v>0</v>
      </c>
      <c r="D12" s="401">
        <f>'2.sz.tábla'!D66</f>
        <v>0</v>
      </c>
      <c r="E12" s="414">
        <f t="shared" si="0"/>
        <v>0</v>
      </c>
    </row>
    <row r="13" spans="1:5" ht="18" customHeight="1" x14ac:dyDescent="0.25">
      <c r="A13" s="408" t="s">
        <v>10</v>
      </c>
      <c r="B13" s="401">
        <f>'2.sz.tábla'!B72</f>
        <v>0</v>
      </c>
      <c r="C13" s="400">
        <f>'2.sz.tábla'!C11</f>
        <v>0</v>
      </c>
      <c r="D13" s="400">
        <v>0</v>
      </c>
      <c r="E13" s="414">
        <f t="shared" si="0"/>
        <v>0</v>
      </c>
    </row>
    <row r="14" spans="1:5" s="394" customFormat="1" ht="19.5" customHeight="1" x14ac:dyDescent="0.25">
      <c r="A14" s="409" t="s">
        <v>11</v>
      </c>
      <c r="B14" s="402">
        <f>SUM(B7:B13)</f>
        <v>58060196</v>
      </c>
      <c r="C14" s="402">
        <f>SUM(C7:C13)</f>
        <v>59288654</v>
      </c>
      <c r="D14" s="402">
        <f>SUM(D7:D13)</f>
        <v>61929452</v>
      </c>
      <c r="E14" s="415">
        <f t="shared" si="0"/>
        <v>2640798</v>
      </c>
    </row>
    <row r="15" spans="1:5" s="394" customFormat="1" ht="18.75" customHeight="1" x14ac:dyDescent="0.25">
      <c r="A15" s="727" t="s">
        <v>12</v>
      </c>
      <c r="B15" s="402"/>
      <c r="C15" s="403"/>
      <c r="D15" s="697"/>
      <c r="E15" s="414"/>
    </row>
    <row r="16" spans="1:5" ht="31.5" x14ac:dyDescent="0.25">
      <c r="A16" s="407" t="s">
        <v>241</v>
      </c>
      <c r="B16" s="404">
        <v>51000000</v>
      </c>
      <c r="C16" s="404">
        <v>52934973</v>
      </c>
      <c r="D16" s="404">
        <v>52934973</v>
      </c>
      <c r="E16" s="414">
        <f>D16-C16</f>
        <v>0</v>
      </c>
    </row>
    <row r="17" spans="1:11" ht="47.25" x14ac:dyDescent="0.25">
      <c r="A17" s="407" t="s">
        <v>13</v>
      </c>
      <c r="B17" s="401">
        <f>'2.sz.tábla'!B82</f>
        <v>30155000</v>
      </c>
      <c r="C17" s="401">
        <f>'2.sz.tábla'!C82</f>
        <v>628058</v>
      </c>
      <c r="D17" s="401">
        <f>'2.sz.tábla'!D82</f>
        <v>628058</v>
      </c>
      <c r="E17" s="414">
        <f>D17-C17</f>
        <v>0</v>
      </c>
    </row>
    <row r="18" spans="1:11" s="394" customFormat="1" ht="18.75" customHeight="1" thickBot="1" x14ac:dyDescent="0.3">
      <c r="A18" s="419" t="s">
        <v>14</v>
      </c>
      <c r="B18" s="420">
        <f>B16+B17</f>
        <v>81155000</v>
      </c>
      <c r="C18" s="420">
        <f>C16+C17</f>
        <v>53563031</v>
      </c>
      <c r="D18" s="420">
        <f>D16+D17</f>
        <v>53563031</v>
      </c>
      <c r="E18" s="421">
        <f>D18-C18</f>
        <v>0</v>
      </c>
    </row>
    <row r="19" spans="1:11" s="394" customFormat="1" ht="19.5" customHeight="1" thickBot="1" x14ac:dyDescent="0.3">
      <c r="A19" s="422" t="s">
        <v>15</v>
      </c>
      <c r="B19" s="423">
        <f>B14+B18</f>
        <v>139215196</v>
      </c>
      <c r="C19" s="423">
        <f>C14+C18</f>
        <v>112851685</v>
      </c>
      <c r="D19" s="423">
        <f>D14+D18</f>
        <v>115492483</v>
      </c>
      <c r="E19" s="424">
        <f>D19-C19</f>
        <v>2640798</v>
      </c>
    </row>
    <row r="20" spans="1:11" s="394" customFormat="1" ht="14.25" customHeight="1" x14ac:dyDescent="0.25">
      <c r="A20" s="425"/>
      <c r="B20" s="400"/>
      <c r="C20" s="400"/>
      <c r="D20" s="400"/>
      <c r="E20" s="414"/>
      <c r="F20" s="395"/>
      <c r="G20" s="395"/>
      <c r="H20" s="395"/>
      <c r="I20" s="395"/>
      <c r="J20" s="395"/>
      <c r="K20" s="395"/>
    </row>
    <row r="21" spans="1:11" s="394" customFormat="1" ht="14.25" customHeight="1" x14ac:dyDescent="0.25">
      <c r="A21" s="410"/>
      <c r="B21" s="401"/>
      <c r="C21" s="401"/>
      <c r="D21" s="400"/>
      <c r="E21" s="414"/>
      <c r="F21" s="395"/>
      <c r="G21" s="395"/>
      <c r="H21" s="395"/>
      <c r="I21" s="395"/>
      <c r="J21" s="395"/>
      <c r="K21" s="395"/>
    </row>
    <row r="22" spans="1:11" s="396" customFormat="1" ht="20.100000000000001" customHeight="1" x14ac:dyDescent="0.25">
      <c r="A22" s="409" t="s">
        <v>16</v>
      </c>
      <c r="B22" s="402">
        <f>SUM(B23:B25)</f>
        <v>68631499</v>
      </c>
      <c r="C22" s="402">
        <f>SUM(C23:C25)</f>
        <v>71356870</v>
      </c>
      <c r="D22" s="402">
        <f>SUM(D23:D25)</f>
        <v>71237695</v>
      </c>
      <c r="E22" s="415">
        <f>D22-C22</f>
        <v>-119175</v>
      </c>
      <c r="F22" s="297"/>
      <c r="G22" s="297"/>
      <c r="H22" s="297"/>
      <c r="I22" s="297"/>
      <c r="J22" s="297"/>
      <c r="K22" s="297"/>
    </row>
    <row r="23" spans="1:11" s="396" customFormat="1" ht="20.100000000000001" customHeight="1" x14ac:dyDescent="0.25">
      <c r="A23" s="407" t="s">
        <v>17</v>
      </c>
      <c r="B23" s="401">
        <f>'3.tábla'!B50</f>
        <v>68631499</v>
      </c>
      <c r="C23" s="401">
        <f>'3.tábla'!C50</f>
        <v>71356870</v>
      </c>
      <c r="D23" s="401">
        <f>'3.tábla'!D50</f>
        <v>71237695</v>
      </c>
      <c r="E23" s="414">
        <f>D23-C23</f>
        <v>-119175</v>
      </c>
      <c r="F23" s="297"/>
      <c r="G23" s="297"/>
      <c r="H23" s="297"/>
      <c r="I23" s="297"/>
      <c r="J23" s="297"/>
      <c r="K23" s="297"/>
    </row>
    <row r="24" spans="1:11" s="396" customFormat="1" ht="18" customHeight="1" x14ac:dyDescent="0.25">
      <c r="A24" s="407"/>
      <c r="B24" s="390">
        <f>'2.sz.tábla'!B88</f>
        <v>0</v>
      </c>
      <c r="C24" s="390">
        <f>'2.sz.tábla'!C88</f>
        <v>0</v>
      </c>
      <c r="D24" s="390">
        <f>'2.sz.tábla'!D88</f>
        <v>0</v>
      </c>
      <c r="E24" s="416">
        <f>C24-B24</f>
        <v>0</v>
      </c>
      <c r="F24" s="297"/>
      <c r="G24" s="297"/>
      <c r="H24" s="297"/>
      <c r="I24" s="297"/>
      <c r="J24" s="297"/>
      <c r="K24" s="297"/>
    </row>
    <row r="25" spans="1:11" s="394" customFormat="1" ht="18" customHeight="1" x14ac:dyDescent="0.25">
      <c r="A25" s="407"/>
      <c r="B25" s="390">
        <f>'2.sz.tábla'!B89</f>
        <v>0</v>
      </c>
      <c r="C25" s="390">
        <f>'2.sz.tábla'!C89</f>
        <v>0</v>
      </c>
      <c r="D25" s="390">
        <f>'2.sz.tábla'!D89</f>
        <v>0</v>
      </c>
      <c r="E25" s="416">
        <f>C25-B25</f>
        <v>0</v>
      </c>
      <c r="F25" s="289"/>
      <c r="G25" s="395"/>
      <c r="H25" s="395"/>
      <c r="I25" s="395"/>
      <c r="J25" s="395"/>
      <c r="K25" s="395"/>
    </row>
    <row r="26" spans="1:11" ht="18" customHeight="1" x14ac:dyDescent="0.25">
      <c r="A26" s="407"/>
      <c r="B26" s="390">
        <f>'2.sz.tábla'!B90</f>
        <v>0</v>
      </c>
      <c r="C26" s="390">
        <f>'2.sz.tábla'!C90</f>
        <v>0</v>
      </c>
      <c r="D26" s="390">
        <f>'2.sz.tábla'!D90</f>
        <v>0</v>
      </c>
      <c r="E26" s="416">
        <f>C26-B26</f>
        <v>0</v>
      </c>
    </row>
    <row r="27" spans="1:11" s="394" customFormat="1" ht="20.100000000000001" customHeight="1" x14ac:dyDescent="0.25">
      <c r="A27" s="409" t="s">
        <v>18</v>
      </c>
      <c r="B27" s="405">
        <f>SUM(B28:B30)</f>
        <v>33301000</v>
      </c>
      <c r="C27" s="405">
        <f>SUM(C28:C31)</f>
        <v>33679900</v>
      </c>
      <c r="D27" s="405">
        <f>SUM(D28:D31)</f>
        <v>39885750</v>
      </c>
      <c r="E27" s="415">
        <f>D27-C27</f>
        <v>6205850</v>
      </c>
      <c r="G27" s="397"/>
      <c r="H27" s="397"/>
    </row>
    <row r="28" spans="1:11" ht="19.5" customHeight="1" x14ac:dyDescent="0.25">
      <c r="A28" s="407" t="s">
        <v>19</v>
      </c>
      <c r="B28" s="401">
        <v>0</v>
      </c>
      <c r="C28" s="401">
        <f>'2.sz.tábla'!C92</f>
        <v>0</v>
      </c>
      <c r="D28" s="401">
        <f>'2.sz.tábla'!D92</f>
        <v>0</v>
      </c>
      <c r="E28" s="414">
        <f>C28-B28</f>
        <v>0</v>
      </c>
      <c r="G28" s="391"/>
      <c r="H28" s="391"/>
    </row>
    <row r="29" spans="1:11" s="394" customFormat="1" ht="18" customHeight="1" x14ac:dyDescent="0.25">
      <c r="A29" s="407" t="s">
        <v>385</v>
      </c>
      <c r="B29" s="401">
        <f>'5.sz.tábla '!B18</f>
        <v>2430000</v>
      </c>
      <c r="C29" s="401">
        <f>'5.sz.tábla '!C18</f>
        <v>2842522</v>
      </c>
      <c r="D29" s="401">
        <f>'5.sz.tábla '!D18</f>
        <v>6065022</v>
      </c>
      <c r="E29" s="414">
        <f>D29-C29</f>
        <v>3222500</v>
      </c>
      <c r="G29" s="397"/>
      <c r="H29" s="397"/>
    </row>
    <row r="30" spans="1:11" ht="18" customHeight="1" x14ac:dyDescent="0.25">
      <c r="A30" s="407" t="s">
        <v>20</v>
      </c>
      <c r="B30" s="401">
        <f>'5.sz.tábla '!B37</f>
        <v>30871000</v>
      </c>
      <c r="C30" s="401">
        <f>'5.sz.tábla '!C37</f>
        <v>30758478</v>
      </c>
      <c r="D30" s="401">
        <f>'5.sz.tábla '!D37</f>
        <v>33741828</v>
      </c>
      <c r="E30" s="414">
        <f>D30-C30</f>
        <v>2983350</v>
      </c>
      <c r="G30" s="391"/>
      <c r="H30" s="391"/>
    </row>
    <row r="31" spans="1:11" ht="18" customHeight="1" x14ac:dyDescent="0.25">
      <c r="A31" s="407" t="s">
        <v>434</v>
      </c>
      <c r="B31" s="401">
        <v>0</v>
      </c>
      <c r="C31" s="401">
        <v>78900</v>
      </c>
      <c r="D31" s="401">
        <v>78900</v>
      </c>
      <c r="E31" s="417">
        <f>D31-C31</f>
        <v>0</v>
      </c>
      <c r="G31" s="391"/>
      <c r="H31" s="391"/>
    </row>
    <row r="32" spans="1:11" ht="12.75" customHeight="1" x14ac:dyDescent="0.25">
      <c r="A32" s="409"/>
      <c r="B32" s="401"/>
      <c r="C32" s="401"/>
      <c r="D32" s="400"/>
      <c r="E32" s="414"/>
      <c r="G32" s="391"/>
      <c r="H32" s="391"/>
    </row>
    <row r="33" spans="1:8" s="394" customFormat="1" ht="18.75" customHeight="1" x14ac:dyDescent="0.25">
      <c r="A33" s="409" t="s">
        <v>21</v>
      </c>
      <c r="B33" s="405">
        <f>SUM(B34:B35)</f>
        <v>36121697</v>
      </c>
      <c r="C33" s="405">
        <f>SUM(C34,C35)</f>
        <v>6180857</v>
      </c>
      <c r="D33" s="405">
        <f>SUM(D34,D35)</f>
        <v>2734980</v>
      </c>
      <c r="E33" s="414">
        <f>D33-C33</f>
        <v>-3445877</v>
      </c>
      <c r="G33" s="397"/>
      <c r="H33" s="397"/>
    </row>
    <row r="34" spans="1:8" s="394" customFormat="1" ht="18" customHeight="1" x14ac:dyDescent="0.25">
      <c r="A34" s="407" t="s">
        <v>22</v>
      </c>
      <c r="B34" s="402">
        <f>139215196-103093499</f>
        <v>36121697</v>
      </c>
      <c r="C34" s="405">
        <f>B34-266700-147053-349250-27813+33909-1793818+156863+26132+172939-186000-300000+814482+1934973-30000000-190500</f>
        <v>5999861</v>
      </c>
      <c r="D34" s="405">
        <f>C34-2222500-211910-99695+1290809-216550-44000-125383-2671745+855097</f>
        <v>2553984</v>
      </c>
      <c r="E34" s="414">
        <f>D34-C34</f>
        <v>-3445877</v>
      </c>
      <c r="G34" s="397"/>
      <c r="H34" s="397"/>
    </row>
    <row r="35" spans="1:8" s="394" customFormat="1" ht="18" customHeight="1" x14ac:dyDescent="0.25">
      <c r="A35" s="407" t="s">
        <v>23</v>
      </c>
      <c r="B35" s="401">
        <v>0</v>
      </c>
      <c r="C35" s="405">
        <v>180996</v>
      </c>
      <c r="D35" s="405">
        <v>180996</v>
      </c>
      <c r="E35" s="414">
        <f>D35-C35</f>
        <v>0</v>
      </c>
    </row>
    <row r="36" spans="1:8" s="394" customFormat="1" ht="18.75" customHeight="1" x14ac:dyDescent="0.25">
      <c r="A36" s="409" t="s">
        <v>24</v>
      </c>
      <c r="B36" s="405">
        <f>SUM(B33,B27,B22)</f>
        <v>138054196</v>
      </c>
      <c r="C36" s="405">
        <f>SUM(C33,C27,C22)</f>
        <v>111217627</v>
      </c>
      <c r="D36" s="405">
        <f>SUM(D33,D27,D22)</f>
        <v>113858425</v>
      </c>
      <c r="E36" s="418">
        <f>D36-C36</f>
        <v>2640798</v>
      </c>
    </row>
    <row r="37" spans="1:8" ht="18" customHeight="1" x14ac:dyDescent="0.25">
      <c r="A37" s="407" t="s">
        <v>25</v>
      </c>
      <c r="B37" s="401"/>
      <c r="C37" s="411"/>
      <c r="D37" s="698"/>
      <c r="E37" s="414"/>
    </row>
    <row r="38" spans="1:8" ht="20.25" customHeight="1" x14ac:dyDescent="0.25">
      <c r="A38" s="407" t="s">
        <v>250</v>
      </c>
      <c r="B38" s="401">
        <f>'5.sz.tábla '!B47</f>
        <v>1161000</v>
      </c>
      <c r="C38" s="401">
        <f>'5.sz.tábla '!C47</f>
        <v>1634058</v>
      </c>
      <c r="D38" s="401">
        <f>'5.sz.tábla '!D47</f>
        <v>1634058</v>
      </c>
      <c r="E38" s="414">
        <f>D38-C38</f>
        <v>0</v>
      </c>
    </row>
    <row r="39" spans="1:8" s="394" customFormat="1" ht="18.75" customHeight="1" thickBot="1" x14ac:dyDescent="0.3">
      <c r="A39" s="419" t="s">
        <v>26</v>
      </c>
      <c r="B39" s="420">
        <f>SUM(B37:B38)</f>
        <v>1161000</v>
      </c>
      <c r="C39" s="420">
        <f>SUM(C37:C38)</f>
        <v>1634058</v>
      </c>
      <c r="D39" s="420">
        <f>SUM(D37:D38)</f>
        <v>1634058</v>
      </c>
      <c r="E39" s="421">
        <f>D39-C39</f>
        <v>0</v>
      </c>
    </row>
    <row r="40" spans="1:8" s="394" customFormat="1" ht="21" customHeight="1" thickBot="1" x14ac:dyDescent="0.3">
      <c r="A40" s="422" t="s">
        <v>27</v>
      </c>
      <c r="B40" s="423">
        <f>SUM(B36,B39)</f>
        <v>139215196</v>
      </c>
      <c r="C40" s="423">
        <f>SUM(C36,C39)</f>
        <v>112851685</v>
      </c>
      <c r="D40" s="423">
        <f>SUM(D36,D39)</f>
        <v>115492483</v>
      </c>
      <c r="E40" s="424">
        <f>D40-C40</f>
        <v>2640798</v>
      </c>
      <c r="G40" s="398"/>
    </row>
    <row r="41" spans="1:8" x14ac:dyDescent="0.25">
      <c r="A41" s="38"/>
      <c r="C41" s="38"/>
      <c r="D41" s="38"/>
    </row>
    <row r="42" spans="1:8" x14ac:dyDescent="0.25">
      <c r="A42" s="38"/>
      <c r="B42" s="426">
        <f>B19-B40</f>
        <v>0</v>
      </c>
      <c r="C42" s="426">
        <f>C19-C40</f>
        <v>0</v>
      </c>
      <c r="D42" s="426">
        <f>D19-D40</f>
        <v>0</v>
      </c>
      <c r="E42" s="426">
        <f>E19-E40</f>
        <v>0</v>
      </c>
    </row>
    <row r="43" spans="1:8" x14ac:dyDescent="0.25">
      <c r="A43" s="38"/>
      <c r="C43" s="38"/>
      <c r="D43" s="38"/>
    </row>
    <row r="44" spans="1:8" x14ac:dyDescent="0.25">
      <c r="A44" s="38"/>
      <c r="C44" s="38"/>
      <c r="D44" s="38"/>
    </row>
    <row r="55" spans="8:8" ht="141.75" x14ac:dyDescent="0.25">
      <c r="H55" s="406" t="s">
        <v>540</v>
      </c>
    </row>
  </sheetData>
  <sheetProtection selectLockedCells="1" selectUnlockedCells="1"/>
  <mergeCells count="1">
    <mergeCell ref="A4:E4"/>
  </mergeCells>
  <phoneticPr fontId="21" type="noConversion"/>
  <printOptions horizontalCentered="1"/>
  <pageMargins left="0.78740157480314965" right="0.78740157480314965" top="1.1023622047244095" bottom="0.98425196850393704" header="0.62992125984251968" footer="0.51181102362204722"/>
  <pageSetup paperSize="9" scale="73" firstPageNumber="0" orientation="portrait" r:id="rId1"/>
  <headerFooter alignWithMargins="0">
    <oddHeader>&amp;C&amp;"Times New Roman,Félkövér"&amp;12 1. melléklet a 11/2017. (IX. 29.) önkormányzati rendelethez
Az önkormányzat 2017. évi költségvetéséről szóló 2/2017. (II. 15.) önkormányzati rendelet 1. mellékletének helyébe a következő 1. melléklet lép: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2"/>
  <sheetViews>
    <sheetView view="pageLayout" zoomScaleNormal="100" zoomScaleSheetLayoutView="68" workbookViewId="0"/>
  </sheetViews>
  <sheetFormatPr defaultColWidth="9.140625" defaultRowHeight="12.75" x14ac:dyDescent="0.2"/>
  <cols>
    <col min="1" max="1" width="60.85546875" style="556" customWidth="1"/>
    <col min="2" max="2" width="13.42578125" style="554" customWidth="1"/>
    <col min="3" max="3" width="8.42578125" style="554" bestFit="1" customWidth="1"/>
    <col min="4" max="4" width="11.140625" style="554" customWidth="1"/>
    <col min="5" max="5" width="11.28515625" style="554" customWidth="1"/>
    <col min="6" max="6" width="12.28515625" style="554" customWidth="1"/>
    <col min="7" max="7" width="18" style="554" customWidth="1"/>
    <col min="8" max="16384" width="9.140625" style="554"/>
  </cols>
  <sheetData>
    <row r="4" spans="1:7" ht="51.75" customHeight="1" x14ac:dyDescent="0.25">
      <c r="A4" s="855" t="s">
        <v>331</v>
      </c>
      <c r="B4" s="855"/>
      <c r="C4" s="855"/>
      <c r="D4" s="855"/>
      <c r="E4" s="855"/>
      <c r="F4" s="855"/>
      <c r="G4" s="855"/>
    </row>
    <row r="5" spans="1:7" ht="27.75" customHeight="1" x14ac:dyDescent="0.25">
      <c r="A5" s="555"/>
      <c r="B5" s="556"/>
      <c r="C5" s="556"/>
      <c r="D5" s="556"/>
      <c r="E5" s="556"/>
      <c r="F5" s="556"/>
    </row>
    <row r="7" spans="1:7" ht="25.5" customHeight="1" x14ac:dyDescent="0.25">
      <c r="A7" s="557" t="s">
        <v>102</v>
      </c>
      <c r="B7" s="558"/>
      <c r="C7" s="559" t="s">
        <v>270</v>
      </c>
      <c r="D7" s="559" t="s">
        <v>271</v>
      </c>
      <c r="E7" s="559" t="s">
        <v>453</v>
      </c>
      <c r="F7" s="559" t="s">
        <v>499</v>
      </c>
    </row>
    <row r="8" spans="1:7" ht="20.25" customHeight="1" x14ac:dyDescent="0.25">
      <c r="A8" s="560" t="s">
        <v>332</v>
      </c>
      <c r="B8" s="561"/>
      <c r="C8" s="562" t="e">
        <f>'2.sz.tábla'!#REF!+'2.sz.tábla'!#REF!+'2.sz.tábla'!#REF!</f>
        <v>#REF!</v>
      </c>
      <c r="D8" s="562">
        <v>18700000</v>
      </c>
      <c r="E8" s="562">
        <f>'2.sz.tábla'!B34+'2.sz.tábla'!B39+'2.sz.tábla'!B42</f>
        <v>18700000</v>
      </c>
      <c r="F8" s="562">
        <v>18700000</v>
      </c>
    </row>
    <row r="9" spans="1:7" ht="28.5" customHeight="1" x14ac:dyDescent="0.25">
      <c r="A9" s="560" t="s">
        <v>333</v>
      </c>
      <c r="B9" s="561"/>
      <c r="C9" s="563"/>
      <c r="D9" s="563"/>
      <c r="E9" s="563"/>
      <c r="F9" s="563"/>
    </row>
    <row r="10" spans="1:7" ht="18.75" customHeight="1" x14ac:dyDescent="0.25">
      <c r="A10" s="560" t="s">
        <v>334</v>
      </c>
      <c r="B10" s="561"/>
      <c r="C10" s="563">
        <v>0</v>
      </c>
      <c r="D10" s="563">
        <v>0</v>
      </c>
      <c r="E10" s="563">
        <v>0</v>
      </c>
      <c r="F10" s="563">
        <v>0</v>
      </c>
    </row>
    <row r="11" spans="1:7" ht="40.5" customHeight="1" x14ac:dyDescent="0.25">
      <c r="A11" s="560" t="s">
        <v>335</v>
      </c>
      <c r="B11" s="561"/>
      <c r="C11" s="563"/>
      <c r="D11" s="563"/>
      <c r="E11" s="563"/>
      <c r="F11" s="563"/>
    </row>
    <row r="12" spans="1:7" ht="18.75" customHeight="1" x14ac:dyDescent="0.25">
      <c r="A12" s="560" t="s">
        <v>336</v>
      </c>
      <c r="B12" s="561"/>
      <c r="C12" s="562">
        <v>250000</v>
      </c>
      <c r="D12" s="562">
        <v>250000</v>
      </c>
      <c r="E12" s="562">
        <v>250000</v>
      </c>
      <c r="F12" s="562">
        <v>250000</v>
      </c>
    </row>
    <row r="13" spans="1:7" ht="17.25" customHeight="1" x14ac:dyDescent="0.25">
      <c r="A13" s="560" t="s">
        <v>337</v>
      </c>
      <c r="B13" s="561"/>
      <c r="C13" s="562"/>
      <c r="D13" s="562"/>
      <c r="E13" s="562"/>
      <c r="F13" s="562"/>
    </row>
    <row r="14" spans="1:7" ht="18.75" customHeight="1" x14ac:dyDescent="0.25">
      <c r="A14" s="560" t="s">
        <v>103</v>
      </c>
      <c r="B14" s="561"/>
      <c r="C14" s="562" t="e">
        <f>SUM(C8:C13)</f>
        <v>#REF!</v>
      </c>
      <c r="D14" s="562">
        <f>SUM(D8:D13)</f>
        <v>18950000</v>
      </c>
      <c r="E14" s="562">
        <f>SUM(E8:E13)</f>
        <v>18950000</v>
      </c>
      <c r="F14" s="562">
        <f>SUM(F8:F13)</f>
        <v>18950000</v>
      </c>
    </row>
    <row r="15" spans="1:7" s="567" customFormat="1" ht="27" customHeight="1" x14ac:dyDescent="0.2">
      <c r="A15" s="564" t="s">
        <v>338</v>
      </c>
      <c r="B15" s="565"/>
      <c r="C15" s="566" t="e">
        <f>C14*0.5</f>
        <v>#REF!</v>
      </c>
      <c r="D15" s="566">
        <f>D14*0.5</f>
        <v>9475000</v>
      </c>
      <c r="E15" s="566">
        <f>E14*0.5</f>
        <v>9475000</v>
      </c>
      <c r="F15" s="566">
        <f>F14*0.5</f>
        <v>9475000</v>
      </c>
    </row>
    <row r="16" spans="1:7" ht="38.25" customHeight="1" x14ac:dyDescent="0.25">
      <c r="A16" s="568"/>
      <c r="B16" s="569"/>
      <c r="C16" s="570"/>
      <c r="D16" s="570"/>
      <c r="E16" s="570"/>
      <c r="F16" s="570"/>
    </row>
    <row r="17" spans="1:7" ht="15" x14ac:dyDescent="0.25">
      <c r="A17" s="571"/>
      <c r="B17" s="572"/>
      <c r="C17" s="572"/>
      <c r="D17" s="572"/>
      <c r="E17" s="572"/>
      <c r="F17" s="572"/>
    </row>
    <row r="18" spans="1:7" ht="28.5" x14ac:dyDescent="0.2">
      <c r="A18" s="573" t="s">
        <v>339</v>
      </c>
      <c r="B18" s="574" t="s">
        <v>340</v>
      </c>
      <c r="C18" s="559" t="s">
        <v>270</v>
      </c>
      <c r="D18" s="559" t="s">
        <v>271</v>
      </c>
      <c r="E18" s="559" t="s">
        <v>453</v>
      </c>
      <c r="F18" s="559" t="s">
        <v>499</v>
      </c>
    </row>
    <row r="19" spans="1:7" ht="30" customHeight="1" x14ac:dyDescent="0.25">
      <c r="A19" s="560"/>
      <c r="B19" s="575"/>
      <c r="C19" s="562"/>
      <c r="D19" s="562"/>
      <c r="E19" s="562"/>
      <c r="F19" s="562"/>
    </row>
    <row r="20" spans="1:7" ht="15" x14ac:dyDescent="0.25">
      <c r="A20" s="560"/>
      <c r="B20" s="575"/>
      <c r="C20" s="562"/>
      <c r="D20" s="562"/>
      <c r="E20" s="562"/>
      <c r="F20" s="562"/>
    </row>
    <row r="21" spans="1:7" ht="15" x14ac:dyDescent="0.25">
      <c r="A21" s="560"/>
      <c r="B21" s="575"/>
      <c r="C21" s="562"/>
      <c r="D21" s="562"/>
      <c r="E21" s="562"/>
      <c r="F21" s="562"/>
    </row>
    <row r="22" spans="1:7" ht="15" x14ac:dyDescent="0.25">
      <c r="A22" s="560"/>
      <c r="B22" s="575"/>
      <c r="C22" s="562"/>
      <c r="D22" s="562"/>
      <c r="E22" s="562"/>
      <c r="F22" s="562"/>
    </row>
    <row r="23" spans="1:7" ht="15" x14ac:dyDescent="0.25">
      <c r="A23" s="560"/>
      <c r="B23" s="575"/>
      <c r="C23" s="562"/>
      <c r="D23" s="562"/>
      <c r="E23" s="562"/>
      <c r="F23" s="562"/>
    </row>
    <row r="24" spans="1:7" ht="15" x14ac:dyDescent="0.25">
      <c r="A24" s="560"/>
      <c r="B24" s="575"/>
      <c r="C24" s="562"/>
      <c r="D24" s="562"/>
      <c r="E24" s="562"/>
      <c r="F24" s="562"/>
    </row>
    <row r="25" spans="1:7" ht="18.75" customHeight="1" x14ac:dyDescent="0.25">
      <c r="A25" s="576" t="s">
        <v>103</v>
      </c>
      <c r="B25" s="577"/>
      <c r="C25" s="578">
        <f>SUM(C19:C24)</f>
        <v>0</v>
      </c>
      <c r="D25" s="578">
        <f>SUM(D19:D24)</f>
        <v>0</v>
      </c>
      <c r="E25" s="578">
        <f>SUM(E19:E24)</f>
        <v>0</v>
      </c>
      <c r="F25" s="578">
        <f>SUM(F19:F24)</f>
        <v>0</v>
      </c>
    </row>
    <row r="26" spans="1:7" ht="16.5" customHeight="1" x14ac:dyDescent="0.2">
      <c r="G26" s="579"/>
    </row>
    <row r="27" spans="1:7" ht="15" customHeight="1" x14ac:dyDescent="0.2"/>
    <row r="28" spans="1:7" ht="16.5" customHeight="1" x14ac:dyDescent="0.2"/>
    <row r="29" spans="1:7" x14ac:dyDescent="0.2">
      <c r="G29" s="579"/>
    </row>
    <row r="31" spans="1:7" ht="21.75" customHeight="1" x14ac:dyDescent="0.2"/>
    <row r="32" spans="1:7" ht="24" customHeight="1" x14ac:dyDescent="0.2"/>
  </sheetData>
  <sheetProtection selectLockedCells="1" selectUnlockedCells="1"/>
  <mergeCells count="1">
    <mergeCell ref="A4:G4"/>
  </mergeCells>
  <phoneticPr fontId="21" type="noConversion"/>
  <pageMargins left="0.75" right="0.75" top="1" bottom="1" header="0.5" footer="0.51180555555555551"/>
  <pageSetup paperSize="9" scale="84" firstPageNumber="0" orientation="landscape" r:id="rId1"/>
  <headerFooter scaleWithDoc="0" alignWithMargins="0">
    <oddHeader>&amp;C&amp;"Times New Roman,Normál"&amp;12 
9. melléklet az önkormányzat 2017. évi költségvetéséről szóló 2/2017. (II.15.) önkormányzati rendelethez&amp;R&amp;"Times New Roman,Normál"&amp;12&amp;P. oldal forint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4:F31"/>
  <sheetViews>
    <sheetView view="pageLayout" zoomScaleSheetLayoutView="100" workbookViewId="0">
      <selection activeCell="A5" sqref="A5:E5"/>
    </sheetView>
  </sheetViews>
  <sheetFormatPr defaultColWidth="9.140625" defaultRowHeight="15.75" x14ac:dyDescent="0.25"/>
  <cols>
    <col min="1" max="1" width="9.140625" style="580" customWidth="1"/>
    <col min="2" max="2" width="25.42578125" style="580" customWidth="1"/>
    <col min="3" max="3" width="20.85546875" style="580" customWidth="1"/>
    <col min="4" max="4" width="20.5703125" style="580" bestFit="1" customWidth="1"/>
    <col min="5" max="5" width="13.85546875" style="580" bestFit="1" customWidth="1"/>
    <col min="6" max="6" width="10.140625" style="580" bestFit="1" customWidth="1"/>
    <col min="7" max="16384" width="9.140625" style="580"/>
  </cols>
  <sheetData>
    <row r="4" spans="1:5" x14ac:dyDescent="0.25">
      <c r="A4" s="856" t="s">
        <v>297</v>
      </c>
      <c r="B4" s="856"/>
      <c r="C4" s="856"/>
      <c r="D4" s="856"/>
      <c r="E4" s="856"/>
    </row>
    <row r="5" spans="1:5" x14ac:dyDescent="0.25">
      <c r="A5" s="856" t="s">
        <v>500</v>
      </c>
      <c r="B5" s="856"/>
      <c r="C5" s="856"/>
      <c r="D5" s="856"/>
      <c r="E5" s="856"/>
    </row>
    <row r="6" spans="1:5" ht="16.5" thickBot="1" x14ac:dyDescent="0.3"/>
    <row r="7" spans="1:5" x14ac:dyDescent="0.25">
      <c r="A7" s="581" t="s">
        <v>101</v>
      </c>
      <c r="B7" s="582" t="s">
        <v>298</v>
      </c>
      <c r="C7" s="582" t="s">
        <v>299</v>
      </c>
      <c r="D7" s="582" t="s">
        <v>300</v>
      </c>
      <c r="E7" s="583" t="s">
        <v>301</v>
      </c>
    </row>
    <row r="8" spans="1:5" x14ac:dyDescent="0.25">
      <c r="A8" s="584"/>
      <c r="B8" s="585"/>
      <c r="C8" s="586" t="s">
        <v>302</v>
      </c>
      <c r="D8" s="586" t="s">
        <v>303</v>
      </c>
      <c r="E8" s="587" t="s">
        <v>304</v>
      </c>
    </row>
    <row r="9" spans="1:5" x14ac:dyDescent="0.25">
      <c r="A9" s="584"/>
      <c r="B9" s="585"/>
      <c r="C9" s="585"/>
      <c r="D9" s="586" t="s">
        <v>524</v>
      </c>
      <c r="E9" s="587" t="s">
        <v>525</v>
      </c>
    </row>
    <row r="10" spans="1:5" ht="16.5" thickBot="1" x14ac:dyDescent="0.3">
      <c r="A10" s="588" t="s">
        <v>274</v>
      </c>
      <c r="B10" s="589" t="s">
        <v>275</v>
      </c>
      <c r="C10" s="589" t="s">
        <v>276</v>
      </c>
      <c r="D10" s="589" t="s">
        <v>277</v>
      </c>
      <c r="E10" s="590" t="s">
        <v>278</v>
      </c>
    </row>
    <row r="11" spans="1:5" ht="65.25" customHeight="1" x14ac:dyDescent="0.25">
      <c r="A11" s="591" t="s">
        <v>275</v>
      </c>
      <c r="B11" s="592" t="s">
        <v>305</v>
      </c>
      <c r="C11" s="593"/>
      <c r="D11" s="594">
        <f>SUM(D12:D13)</f>
        <v>0</v>
      </c>
      <c r="E11" s="595">
        <f>SUM(E12:E17)</f>
        <v>0</v>
      </c>
    </row>
    <row r="12" spans="1:5" x14ac:dyDescent="0.25">
      <c r="A12" s="596"/>
      <c r="B12" s="597"/>
      <c r="C12" s="597"/>
      <c r="D12" s="598"/>
      <c r="E12" s="599"/>
    </row>
    <row r="13" spans="1:5" x14ac:dyDescent="0.25">
      <c r="A13" s="596"/>
      <c r="B13" s="597"/>
      <c r="C13" s="597"/>
      <c r="D13" s="598"/>
      <c r="E13" s="598"/>
    </row>
    <row r="14" spans="1:5" x14ac:dyDescent="0.25">
      <c r="A14" s="596"/>
      <c r="B14" s="597"/>
      <c r="C14" s="597"/>
      <c r="D14" s="598"/>
      <c r="E14" s="599"/>
    </row>
    <row r="15" spans="1:5" x14ac:dyDescent="0.25">
      <c r="A15" s="596"/>
      <c r="B15" s="597"/>
      <c r="C15" s="597"/>
      <c r="D15" s="598"/>
      <c r="E15" s="599"/>
    </row>
    <row r="16" spans="1:5" x14ac:dyDescent="0.25">
      <c r="A16" s="596"/>
      <c r="B16" s="597"/>
      <c r="C16" s="597"/>
      <c r="D16" s="598"/>
      <c r="E16" s="599"/>
    </row>
    <row r="17" spans="1:6" x14ac:dyDescent="0.25">
      <c r="A17" s="596"/>
      <c r="B17" s="597"/>
      <c r="C17" s="597"/>
      <c r="D17" s="598"/>
      <c r="E17" s="599"/>
    </row>
    <row r="18" spans="1:6" x14ac:dyDescent="0.25">
      <c r="A18" s="596"/>
      <c r="B18" s="597"/>
      <c r="C18" s="597"/>
      <c r="D18" s="598"/>
      <c r="E18" s="599"/>
    </row>
    <row r="19" spans="1:6" ht="78.75" x14ac:dyDescent="0.25">
      <c r="A19" s="600" t="s">
        <v>276</v>
      </c>
      <c r="B19" s="592" t="s">
        <v>306</v>
      </c>
      <c r="C19" s="597"/>
      <c r="D19" s="598"/>
      <c r="E19" s="599">
        <v>0</v>
      </c>
    </row>
    <row r="20" spans="1:6" ht="63" x14ac:dyDescent="0.25">
      <c r="A20" s="600"/>
      <c r="B20" s="601" t="s">
        <v>307</v>
      </c>
      <c r="C20" s="602"/>
      <c r="D20" s="603" t="e">
        <f>SUM(D21:D28)</f>
        <v>#REF!</v>
      </c>
      <c r="E20" s="603">
        <f>SUM(E21:E28)</f>
        <v>2213000</v>
      </c>
      <c r="F20" s="603"/>
    </row>
    <row r="21" spans="1:6" x14ac:dyDescent="0.25">
      <c r="A21" s="600"/>
      <c r="B21" s="604"/>
      <c r="C21" s="597" t="s">
        <v>308</v>
      </c>
      <c r="D21" s="598">
        <f t="shared" ref="D21:D29" si="0">F21+E21</f>
        <v>0</v>
      </c>
      <c r="E21" s="599">
        <v>0</v>
      </c>
      <c r="F21" s="605">
        <f>'2.sz.tábla'!B35</f>
        <v>0</v>
      </c>
    </row>
    <row r="22" spans="1:6" x14ac:dyDescent="0.25">
      <c r="A22" s="600"/>
      <c r="B22" s="604"/>
      <c r="C22" s="597" t="s">
        <v>418</v>
      </c>
      <c r="D22" s="606" t="e">
        <f t="shared" si="0"/>
        <v>#REF!</v>
      </c>
      <c r="E22" s="607">
        <v>1655000</v>
      </c>
      <c r="F22" s="605" t="e">
        <f>'2.sz.tábla'!#REF!</f>
        <v>#REF!</v>
      </c>
    </row>
    <row r="23" spans="1:6" x14ac:dyDescent="0.25">
      <c r="A23" s="600"/>
      <c r="B23" s="604"/>
      <c r="C23" s="597" t="s">
        <v>309</v>
      </c>
      <c r="D23" s="606">
        <f t="shared" si="0"/>
        <v>8866000</v>
      </c>
      <c r="E23" s="607">
        <v>266000</v>
      </c>
      <c r="F23" s="605">
        <f>'2.sz.tábla'!B40</f>
        <v>8600000</v>
      </c>
    </row>
    <row r="24" spans="1:6" ht="16.5" customHeight="1" x14ac:dyDescent="0.25">
      <c r="A24" s="600"/>
      <c r="B24" s="604"/>
      <c r="C24" s="608" t="s">
        <v>310</v>
      </c>
      <c r="D24" s="606">
        <f t="shared" si="0"/>
        <v>138000</v>
      </c>
      <c r="E24" s="607">
        <v>38000</v>
      </c>
      <c r="F24" s="605">
        <f>'2.sz.tábla'!B43</f>
        <v>100000</v>
      </c>
    </row>
    <row r="25" spans="1:6" ht="16.5" customHeight="1" x14ac:dyDescent="0.25">
      <c r="A25" s="600"/>
      <c r="B25" s="604"/>
      <c r="C25" s="608" t="s">
        <v>311</v>
      </c>
      <c r="D25" s="606">
        <f t="shared" si="0"/>
        <v>200000</v>
      </c>
      <c r="E25" s="607">
        <v>0</v>
      </c>
      <c r="F25" s="605">
        <f>'2.sz.tábla'!B36</f>
        <v>200000</v>
      </c>
    </row>
    <row r="26" spans="1:6" ht="16.5" customHeight="1" x14ac:dyDescent="0.25">
      <c r="A26" s="600"/>
      <c r="B26" s="604"/>
      <c r="C26" s="608" t="s">
        <v>312</v>
      </c>
      <c r="D26" s="606">
        <f t="shared" si="0"/>
        <v>0</v>
      </c>
      <c r="E26" s="607">
        <v>0</v>
      </c>
      <c r="F26" s="327">
        <f>'2.sz.tábla'!B44</f>
        <v>0</v>
      </c>
    </row>
    <row r="27" spans="1:6" x14ac:dyDescent="0.25">
      <c r="A27" s="600"/>
      <c r="B27" s="604"/>
      <c r="C27" s="597" t="s">
        <v>313</v>
      </c>
      <c r="D27" s="606">
        <f t="shared" si="0"/>
        <v>1754000</v>
      </c>
      <c r="E27" s="607">
        <v>254000</v>
      </c>
      <c r="F27" s="327">
        <f>'2.sz.tábla'!B41</f>
        <v>1500000</v>
      </c>
    </row>
    <row r="28" spans="1:6" x14ac:dyDescent="0.25">
      <c r="A28" s="600"/>
      <c r="B28" s="604"/>
      <c r="C28" s="597" t="s">
        <v>419</v>
      </c>
      <c r="D28" s="606">
        <f t="shared" si="0"/>
        <v>250000</v>
      </c>
      <c r="E28" s="607">
        <v>0</v>
      </c>
      <c r="F28" s="327">
        <f>'2.sz.tábla'!B46</f>
        <v>250000</v>
      </c>
    </row>
    <row r="29" spans="1:6" ht="78.75" x14ac:dyDescent="0.25">
      <c r="A29" s="600" t="s">
        <v>277</v>
      </c>
      <c r="B29" s="592" t="s">
        <v>314</v>
      </c>
      <c r="C29" s="597"/>
      <c r="D29" s="598">
        <f t="shared" si="0"/>
        <v>0</v>
      </c>
      <c r="E29" s="599">
        <v>0</v>
      </c>
      <c r="F29" s="327"/>
    </row>
    <row r="30" spans="1:6" ht="63.75" thickBot="1" x14ac:dyDescent="0.3">
      <c r="A30" s="609" t="s">
        <v>278</v>
      </c>
      <c r="B30" s="610" t="s">
        <v>315</v>
      </c>
      <c r="C30" s="611"/>
      <c r="D30" s="612">
        <f>F30+E30+G30</f>
        <v>0</v>
      </c>
      <c r="E30" s="613">
        <v>0</v>
      </c>
      <c r="F30" s="327"/>
    </row>
    <row r="31" spans="1:6" ht="16.5" thickBot="1" x14ac:dyDescent="0.3">
      <c r="A31" s="614"/>
      <c r="B31" s="615" t="s">
        <v>316</v>
      </c>
      <c r="C31" s="615"/>
      <c r="D31" s="616" t="e">
        <f>D30+D29+D19+D20+D11</f>
        <v>#REF!</v>
      </c>
      <c r="E31" s="617">
        <f>E30+E29+E19+E20+E11</f>
        <v>2213000</v>
      </c>
      <c r="F31" s="617" t="e">
        <f>SUM(F22:F28)</f>
        <v>#REF!</v>
      </c>
    </row>
  </sheetData>
  <mergeCells count="2">
    <mergeCell ref="A4:E4"/>
    <mergeCell ref="A5:E5"/>
  </mergeCells>
  <phoneticPr fontId="21" type="noConversion"/>
  <pageMargins left="0.75" right="0.75" top="1" bottom="1" header="0.5" footer="0.5"/>
  <pageSetup paperSize="9" scale="91" orientation="portrait" r:id="rId1"/>
  <headerFooter alignWithMargins="0">
    <oddHeader>&amp;L&amp;"Times New Roman,Normál"Pécsely Község Önkormányzata&amp;C 
&amp;"Times New Roman,Normál"&amp;12 10. melléklet az önkormányzat 2017. évi költségvetéséről szóló 2/2017. (II.15.) önkormányzati rendelethez:&amp;R&amp;"Times New Roman,Normál"&amp;P. oldal forint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N29"/>
  <sheetViews>
    <sheetView view="pageLayout" zoomScaleNormal="100" workbookViewId="0">
      <selection activeCell="A3" sqref="A3:L3"/>
    </sheetView>
  </sheetViews>
  <sheetFormatPr defaultColWidth="9.140625" defaultRowHeight="15.75" x14ac:dyDescent="0.25"/>
  <cols>
    <col min="1" max="1" width="10" style="214" customWidth="1"/>
    <col min="2" max="2" width="29" style="214" customWidth="1"/>
    <col min="3" max="3" width="12" style="214" customWidth="1"/>
    <col min="4" max="4" width="12.85546875" style="214" customWidth="1"/>
    <col min="5" max="5" width="11.85546875" style="214" customWidth="1"/>
    <col min="6" max="7" width="11.5703125" style="214" customWidth="1"/>
    <col min="8" max="8" width="11.28515625" style="214" customWidth="1"/>
    <col min="9" max="9" width="11" style="214" customWidth="1"/>
    <col min="10" max="10" width="10.5703125" style="214" customWidth="1"/>
    <col min="11" max="12" width="13.7109375" style="214" customWidth="1"/>
    <col min="13" max="16384" width="9.140625" style="214"/>
  </cols>
  <sheetData>
    <row r="1" spans="1:14" x14ac:dyDescent="0.25">
      <c r="A1" s="618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2" spans="1:14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3" spans="1:14" x14ac:dyDescent="0.25">
      <c r="A3" s="857" t="s">
        <v>261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618"/>
      <c r="N3" s="618"/>
    </row>
    <row r="4" spans="1:14" x14ac:dyDescent="0.25">
      <c r="A4" s="857" t="s">
        <v>527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618"/>
      <c r="N4" s="618"/>
    </row>
    <row r="5" spans="1:14" x14ac:dyDescent="0.25">
      <c r="A5" s="618"/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</row>
    <row r="6" spans="1:14" ht="15" customHeight="1" x14ac:dyDescent="0.25">
      <c r="A6" s="619" t="s">
        <v>101</v>
      </c>
      <c r="B6" s="620" t="s">
        <v>262</v>
      </c>
      <c r="C6" s="620" t="s">
        <v>263</v>
      </c>
      <c r="D6" s="620" t="s">
        <v>501</v>
      </c>
      <c r="E6" s="858" t="s">
        <v>502</v>
      </c>
      <c r="F6" s="619"/>
      <c r="G6" s="619"/>
      <c r="H6" s="619"/>
      <c r="I6" s="619"/>
      <c r="J6" s="858" t="s">
        <v>503</v>
      </c>
      <c r="K6" s="859" t="s">
        <v>265</v>
      </c>
      <c r="L6" s="858" t="s">
        <v>266</v>
      </c>
      <c r="M6" s="618"/>
      <c r="N6" s="618"/>
    </row>
    <row r="7" spans="1:14" x14ac:dyDescent="0.25">
      <c r="A7" s="621"/>
      <c r="B7" s="622"/>
      <c r="C7" s="623" t="s">
        <v>267</v>
      </c>
      <c r="D7" s="623" t="s">
        <v>268</v>
      </c>
      <c r="E7" s="858"/>
      <c r="F7" s="623" t="s">
        <v>270</v>
      </c>
      <c r="G7" s="623" t="s">
        <v>271</v>
      </c>
      <c r="H7" s="624" t="s">
        <v>453</v>
      </c>
      <c r="I7" s="624" t="s">
        <v>499</v>
      </c>
      <c r="J7" s="858"/>
      <c r="K7" s="859"/>
      <c r="L7" s="858"/>
      <c r="M7" s="618"/>
      <c r="N7" s="618"/>
    </row>
    <row r="8" spans="1:14" ht="31.5" x14ac:dyDescent="0.25">
      <c r="A8" s="625"/>
      <c r="B8" s="626"/>
      <c r="C8" s="627" t="s">
        <v>272</v>
      </c>
      <c r="D8" s="628" t="s">
        <v>273</v>
      </c>
      <c r="E8" s="858"/>
      <c r="F8" s="627"/>
      <c r="G8" s="627"/>
      <c r="H8" s="629"/>
      <c r="I8" s="629"/>
      <c r="J8" s="858"/>
      <c r="K8" s="859"/>
      <c r="L8" s="858"/>
      <c r="M8" s="618"/>
      <c r="N8" s="618"/>
    </row>
    <row r="9" spans="1:14" x14ac:dyDescent="0.25">
      <c r="A9" s="630" t="s">
        <v>274</v>
      </c>
      <c r="B9" s="631" t="s">
        <v>275</v>
      </c>
      <c r="C9" s="631" t="s">
        <v>276</v>
      </c>
      <c r="D9" s="631" t="s">
        <v>277</v>
      </c>
      <c r="E9" s="631" t="s">
        <v>278</v>
      </c>
      <c r="F9" s="631" t="s">
        <v>279</v>
      </c>
      <c r="G9" s="631" t="s">
        <v>280</v>
      </c>
      <c r="H9" s="631" t="s">
        <v>281</v>
      </c>
      <c r="I9" s="631" t="s">
        <v>282</v>
      </c>
      <c r="J9" s="631" t="s">
        <v>283</v>
      </c>
      <c r="K9" s="632" t="s">
        <v>284</v>
      </c>
      <c r="L9" s="633" t="s">
        <v>285</v>
      </c>
      <c r="M9" s="618"/>
      <c r="N9" s="618"/>
    </row>
    <row r="10" spans="1:14" x14ac:dyDescent="0.25">
      <c r="A10" s="619" t="s">
        <v>274</v>
      </c>
      <c r="B10" s="634" t="s">
        <v>286</v>
      </c>
      <c r="C10" s="635"/>
      <c r="D10" s="636"/>
      <c r="E10" s="637"/>
      <c r="F10" s="637"/>
      <c r="G10" s="637"/>
      <c r="H10" s="637"/>
      <c r="I10" s="637"/>
      <c r="J10" s="637"/>
      <c r="K10" s="637"/>
      <c r="L10" s="638"/>
      <c r="M10" s="618"/>
      <c r="N10" s="618"/>
    </row>
    <row r="11" spans="1:14" x14ac:dyDescent="0.25">
      <c r="A11" s="621"/>
      <c r="B11" s="639" t="s">
        <v>287</v>
      </c>
      <c r="C11" s="640"/>
      <c r="D11" s="641"/>
      <c r="E11" s="641"/>
      <c r="F11" s="641"/>
      <c r="G11" s="641"/>
      <c r="H11" s="641"/>
      <c r="I11" s="641"/>
      <c r="J11" s="641"/>
      <c r="K11" s="642"/>
      <c r="L11" s="638"/>
      <c r="M11" s="618"/>
      <c r="N11" s="618"/>
    </row>
    <row r="12" spans="1:14" x14ac:dyDescent="0.25">
      <c r="A12" s="643"/>
      <c r="B12" s="644"/>
      <c r="C12" s="644"/>
      <c r="D12" s="644"/>
      <c r="E12" s="644"/>
      <c r="F12" s="644"/>
      <c r="G12" s="644"/>
      <c r="H12" s="644"/>
      <c r="I12" s="644"/>
      <c r="J12" s="644"/>
      <c r="K12" s="645"/>
      <c r="L12" s="638"/>
      <c r="M12" s="618"/>
      <c r="N12" s="618"/>
    </row>
    <row r="13" spans="1:14" x14ac:dyDescent="0.25">
      <c r="A13" s="619" t="s">
        <v>275</v>
      </c>
      <c r="B13" s="646" t="s">
        <v>288</v>
      </c>
      <c r="C13" s="635"/>
      <c r="D13" s="647"/>
      <c r="E13" s="647"/>
      <c r="F13" s="647"/>
      <c r="G13" s="647"/>
      <c r="H13" s="647"/>
      <c r="I13" s="647"/>
      <c r="J13" s="647"/>
      <c r="K13" s="648"/>
      <c r="L13" s="638"/>
      <c r="M13" s="618"/>
      <c r="N13" s="618"/>
    </row>
    <row r="14" spans="1:14" x14ac:dyDescent="0.25">
      <c r="A14" s="621"/>
      <c r="B14" s="649" t="s">
        <v>289</v>
      </c>
      <c r="C14" s="640"/>
      <c r="D14" s="650">
        <f>D17+D20+D22+D24</f>
        <v>0</v>
      </c>
      <c r="E14" s="650">
        <f>E17+E20+E22+E24</f>
        <v>0</v>
      </c>
      <c r="F14" s="650">
        <f>F17+F20+F22+F24</f>
        <v>0</v>
      </c>
      <c r="G14" s="650">
        <f>G17+G20+G22+G24</f>
        <v>0</v>
      </c>
      <c r="H14" s="650">
        <f>H17+H20+H22+H24</f>
        <v>0</v>
      </c>
      <c r="I14" s="650"/>
      <c r="J14" s="650">
        <f>J17+J20+J22+J24</f>
        <v>0</v>
      </c>
      <c r="K14" s="650">
        <f>K17+K20+K22+K24</f>
        <v>0</v>
      </c>
      <c r="L14" s="650">
        <f>L17+L20+L22+L24</f>
        <v>0</v>
      </c>
      <c r="M14" s="618"/>
      <c r="N14" s="618"/>
    </row>
    <row r="15" spans="1:14" x14ac:dyDescent="0.25">
      <c r="A15" s="643"/>
      <c r="B15" s="651"/>
      <c r="C15" s="652"/>
      <c r="D15" s="653"/>
      <c r="E15" s="653"/>
      <c r="F15" s="653"/>
      <c r="G15" s="653"/>
      <c r="H15" s="653"/>
      <c r="I15" s="653"/>
      <c r="J15" s="650"/>
      <c r="K15" s="654"/>
      <c r="L15" s="655"/>
      <c r="M15" s="618"/>
      <c r="N15" s="618"/>
    </row>
    <row r="16" spans="1:14" x14ac:dyDescent="0.25">
      <c r="A16" s="643"/>
      <c r="B16" s="651"/>
      <c r="C16" s="652"/>
      <c r="D16" s="653"/>
      <c r="E16" s="653"/>
      <c r="F16" s="653"/>
      <c r="G16" s="653"/>
      <c r="H16" s="653"/>
      <c r="I16" s="653"/>
      <c r="J16" s="656"/>
      <c r="K16" s="657"/>
      <c r="L16" s="655"/>
      <c r="M16" s="618"/>
      <c r="N16" s="618"/>
    </row>
    <row r="17" spans="1:14" x14ac:dyDescent="0.25">
      <c r="A17" s="630" t="s">
        <v>281</v>
      </c>
      <c r="B17" s="658" t="s">
        <v>290</v>
      </c>
      <c r="C17" s="633"/>
      <c r="D17" s="659">
        <f>SUM(D15:D15)</f>
        <v>0</v>
      </c>
      <c r="E17" s="659">
        <f>SUM(E15:E15)</f>
        <v>0</v>
      </c>
      <c r="F17" s="659">
        <f t="shared" ref="F17:L17" si="0">SUM(F15:F16)</f>
        <v>0</v>
      </c>
      <c r="G17" s="659">
        <f t="shared" si="0"/>
        <v>0</v>
      </c>
      <c r="H17" s="659">
        <f t="shared" si="0"/>
        <v>0</v>
      </c>
      <c r="I17" s="659">
        <f t="shared" si="0"/>
        <v>0</v>
      </c>
      <c r="J17" s="659">
        <f t="shared" si="0"/>
        <v>0</v>
      </c>
      <c r="K17" s="659">
        <f t="shared" si="0"/>
        <v>0</v>
      </c>
      <c r="L17" s="659">
        <f t="shared" si="0"/>
        <v>0</v>
      </c>
      <c r="M17" s="660"/>
      <c r="N17" s="660"/>
    </row>
    <row r="18" spans="1:14" x14ac:dyDescent="0.25">
      <c r="A18" s="643"/>
      <c r="B18" s="651"/>
      <c r="C18" s="661"/>
      <c r="D18" s="653"/>
      <c r="E18" s="653"/>
      <c r="F18" s="653"/>
      <c r="G18" s="653"/>
      <c r="H18" s="653"/>
      <c r="I18" s="653"/>
      <c r="J18" s="650"/>
      <c r="K18" s="654"/>
      <c r="L18" s="655"/>
      <c r="M18" s="660"/>
      <c r="N18" s="660"/>
    </row>
    <row r="19" spans="1:14" x14ac:dyDescent="0.25">
      <c r="A19" s="643"/>
      <c r="B19" s="651"/>
      <c r="C19" s="661"/>
      <c r="D19" s="653"/>
      <c r="E19" s="653"/>
      <c r="F19" s="653"/>
      <c r="G19" s="653"/>
      <c r="H19" s="653"/>
      <c r="I19" s="653"/>
      <c r="J19" s="656"/>
      <c r="K19" s="657"/>
      <c r="L19" s="659"/>
      <c r="M19" s="660"/>
      <c r="N19" s="660"/>
    </row>
    <row r="20" spans="1:14" x14ac:dyDescent="0.25">
      <c r="A20" s="630">
        <v>14</v>
      </c>
      <c r="B20" s="658" t="s">
        <v>292</v>
      </c>
      <c r="C20" s="633"/>
      <c r="D20" s="659">
        <f t="shared" ref="D20:L20" si="1">SUM(D18:D19)</f>
        <v>0</v>
      </c>
      <c r="E20" s="659">
        <f t="shared" si="1"/>
        <v>0</v>
      </c>
      <c r="F20" s="659">
        <f t="shared" si="1"/>
        <v>0</v>
      </c>
      <c r="G20" s="659">
        <f t="shared" si="1"/>
        <v>0</v>
      </c>
      <c r="H20" s="659">
        <f t="shared" si="1"/>
        <v>0</v>
      </c>
      <c r="I20" s="659">
        <f t="shared" si="1"/>
        <v>0</v>
      </c>
      <c r="J20" s="659">
        <f t="shared" si="1"/>
        <v>0</v>
      </c>
      <c r="K20" s="659">
        <f t="shared" si="1"/>
        <v>0</v>
      </c>
      <c r="L20" s="659">
        <f t="shared" si="1"/>
        <v>0</v>
      </c>
      <c r="M20" s="660"/>
      <c r="N20" s="660"/>
    </row>
    <row r="21" spans="1:14" x14ac:dyDescent="0.25">
      <c r="A21" s="643"/>
      <c r="B21" s="651"/>
      <c r="C21" s="661"/>
      <c r="D21" s="653"/>
      <c r="E21" s="653"/>
      <c r="F21" s="653"/>
      <c r="G21" s="653"/>
      <c r="H21" s="653"/>
      <c r="I21" s="653"/>
      <c r="J21" s="650"/>
      <c r="K21" s="657"/>
      <c r="L21" s="653"/>
      <c r="M21" s="660"/>
      <c r="N21" s="660"/>
    </row>
    <row r="22" spans="1:14" ht="31.5" x14ac:dyDescent="0.25">
      <c r="A22" s="630">
        <v>16</v>
      </c>
      <c r="B22" s="658" t="s">
        <v>293</v>
      </c>
      <c r="C22" s="633"/>
      <c r="D22" s="659">
        <f t="shared" ref="D22:L22" si="2">SUM(D21)</f>
        <v>0</v>
      </c>
      <c r="E22" s="659">
        <f t="shared" si="2"/>
        <v>0</v>
      </c>
      <c r="F22" s="659">
        <f t="shared" si="2"/>
        <v>0</v>
      </c>
      <c r="G22" s="659">
        <f t="shared" si="2"/>
        <v>0</v>
      </c>
      <c r="H22" s="659">
        <f t="shared" si="2"/>
        <v>0</v>
      </c>
      <c r="I22" s="659"/>
      <c r="J22" s="659">
        <f t="shared" si="2"/>
        <v>0</v>
      </c>
      <c r="K22" s="659">
        <f t="shared" si="2"/>
        <v>0</v>
      </c>
      <c r="L22" s="659">
        <f t="shared" si="2"/>
        <v>0</v>
      </c>
      <c r="M22" s="660"/>
      <c r="N22" s="660"/>
    </row>
    <row r="23" spans="1:14" x14ac:dyDescent="0.25">
      <c r="A23" s="643"/>
      <c r="B23" s="651"/>
      <c r="C23" s="661"/>
      <c r="D23" s="653"/>
      <c r="E23" s="653"/>
      <c r="F23" s="653"/>
      <c r="G23" s="653"/>
      <c r="H23" s="653"/>
      <c r="I23" s="653"/>
      <c r="J23" s="650"/>
      <c r="K23" s="657"/>
      <c r="L23" s="653"/>
      <c r="M23" s="660"/>
      <c r="N23" s="660"/>
    </row>
    <row r="24" spans="1:14" ht="31.5" x14ac:dyDescent="0.25">
      <c r="A24" s="630">
        <v>18</v>
      </c>
      <c r="B24" s="658" t="s">
        <v>294</v>
      </c>
      <c r="C24" s="633"/>
      <c r="D24" s="659">
        <f t="shared" ref="D24:L24" si="3">SUM(D23)</f>
        <v>0</v>
      </c>
      <c r="E24" s="659">
        <f t="shared" si="3"/>
        <v>0</v>
      </c>
      <c r="F24" s="659">
        <f t="shared" si="3"/>
        <v>0</v>
      </c>
      <c r="G24" s="659">
        <f t="shared" si="3"/>
        <v>0</v>
      </c>
      <c r="H24" s="659">
        <f t="shared" si="3"/>
        <v>0</v>
      </c>
      <c r="I24" s="659"/>
      <c r="J24" s="659">
        <f t="shared" si="3"/>
        <v>0</v>
      </c>
      <c r="K24" s="659">
        <f t="shared" si="3"/>
        <v>0</v>
      </c>
      <c r="L24" s="659">
        <f t="shared" si="3"/>
        <v>0</v>
      </c>
      <c r="M24" s="660"/>
      <c r="N24" s="660"/>
    </row>
    <row r="25" spans="1:14" ht="20.25" customHeight="1" x14ac:dyDescent="0.25">
      <c r="A25" s="630" t="s">
        <v>274</v>
      </c>
      <c r="B25" s="631" t="s">
        <v>275</v>
      </c>
      <c r="C25" s="631" t="s">
        <v>276</v>
      </c>
      <c r="D25" s="631" t="s">
        <v>277</v>
      </c>
      <c r="E25" s="631" t="s">
        <v>278</v>
      </c>
      <c r="F25" s="631" t="s">
        <v>279</v>
      </c>
      <c r="G25" s="631" t="s">
        <v>280</v>
      </c>
      <c r="H25" s="631" t="s">
        <v>281</v>
      </c>
      <c r="I25" s="631" t="s">
        <v>282</v>
      </c>
      <c r="J25" s="631" t="s">
        <v>283</v>
      </c>
      <c r="K25" s="632" t="s">
        <v>284</v>
      </c>
      <c r="L25" s="633" t="s">
        <v>285</v>
      </c>
      <c r="M25" s="618"/>
      <c r="N25" s="618"/>
    </row>
    <row r="26" spans="1:14" x14ac:dyDescent="0.25">
      <c r="A26" s="643">
        <v>19</v>
      </c>
      <c r="B26" s="662" t="s">
        <v>295</v>
      </c>
      <c r="C26" s="663"/>
      <c r="D26" s="650">
        <f t="shared" ref="D26:L26" si="4">SUM(D27:D27)</f>
        <v>0</v>
      </c>
      <c r="E26" s="650">
        <f t="shared" si="4"/>
        <v>0</v>
      </c>
      <c r="F26" s="650">
        <f t="shared" si="4"/>
        <v>0</v>
      </c>
      <c r="G26" s="650">
        <f t="shared" si="4"/>
        <v>0</v>
      </c>
      <c r="H26" s="650">
        <f t="shared" si="4"/>
        <v>0</v>
      </c>
      <c r="I26" s="650">
        <f t="shared" si="4"/>
        <v>0</v>
      </c>
      <c r="J26" s="650">
        <f t="shared" si="4"/>
        <v>0</v>
      </c>
      <c r="K26" s="650">
        <f t="shared" si="4"/>
        <v>0</v>
      </c>
      <c r="L26" s="650">
        <f t="shared" si="4"/>
        <v>0</v>
      </c>
      <c r="M26" s="618"/>
      <c r="N26" s="618"/>
    </row>
    <row r="27" spans="1:14" x14ac:dyDescent="0.25">
      <c r="A27" s="643">
        <v>20</v>
      </c>
      <c r="B27" s="664"/>
      <c r="C27" s="665"/>
      <c r="D27" s="666"/>
      <c r="E27" s="666"/>
      <c r="F27" s="667"/>
      <c r="G27" s="667"/>
      <c r="H27" s="667"/>
      <c r="I27" s="667"/>
      <c r="J27" s="656"/>
      <c r="K27" s="657"/>
      <c r="L27" s="653"/>
      <c r="M27" s="618"/>
      <c r="N27" s="618"/>
    </row>
    <row r="28" spans="1:14" x14ac:dyDescent="0.25">
      <c r="A28" s="643"/>
      <c r="B28" s="668"/>
      <c r="C28" s="669"/>
      <c r="D28" s="656"/>
      <c r="E28" s="656"/>
      <c r="F28" s="656"/>
      <c r="G28" s="656"/>
      <c r="H28" s="656"/>
      <c r="I28" s="656"/>
      <c r="J28" s="656"/>
      <c r="K28" s="657">
        <f>G28+H28+J28+I28</f>
        <v>0</v>
      </c>
      <c r="L28" s="653">
        <f>D28+E28+F28+K28</f>
        <v>0</v>
      </c>
      <c r="M28" s="618"/>
      <c r="N28" s="618"/>
    </row>
    <row r="29" spans="1:14" x14ac:dyDescent="0.25">
      <c r="A29" s="630"/>
      <c r="B29" s="662" t="s">
        <v>296</v>
      </c>
      <c r="C29" s="663"/>
      <c r="D29" s="659">
        <f t="shared" ref="D29:L29" si="5">D26+D14</f>
        <v>0</v>
      </c>
      <c r="E29" s="659">
        <f t="shared" si="5"/>
        <v>0</v>
      </c>
      <c r="F29" s="659">
        <f t="shared" si="5"/>
        <v>0</v>
      </c>
      <c r="G29" s="659">
        <f t="shared" si="5"/>
        <v>0</v>
      </c>
      <c r="H29" s="659">
        <f t="shared" si="5"/>
        <v>0</v>
      </c>
      <c r="I29" s="659">
        <f t="shared" si="5"/>
        <v>0</v>
      </c>
      <c r="J29" s="659">
        <f t="shared" si="5"/>
        <v>0</v>
      </c>
      <c r="K29" s="659">
        <f t="shared" si="5"/>
        <v>0</v>
      </c>
      <c r="L29" s="659">
        <f t="shared" si="5"/>
        <v>0</v>
      </c>
      <c r="M29" s="618"/>
      <c r="N29" s="618"/>
    </row>
  </sheetData>
  <mergeCells count="6">
    <mergeCell ref="A3:L3"/>
    <mergeCell ref="A4:L4"/>
    <mergeCell ref="E6:E8"/>
    <mergeCell ref="J6:J8"/>
    <mergeCell ref="K6:K8"/>
    <mergeCell ref="L6:L8"/>
  </mergeCells>
  <phoneticPr fontId="21" type="noConversion"/>
  <pageMargins left="0.7" right="0.7" top="0.75" bottom="0.75" header="0.3" footer="0.3"/>
  <pageSetup paperSize="9" scale="62" orientation="landscape" r:id="rId1"/>
  <headerFooter>
    <oddHeader>&amp;L&amp;"Times New Roman,Normál"&amp;12Pécsely Község Önkormányzata&amp;C&amp;"Times New Roman,Normál"&amp;12 11. melléklet az önkormányzat 2017. évi költségvetéséről szóló 2/2017. (II.15.) önkormányzati rendelethez&amp;R&amp;"Times New Roman,Normál"&amp;12&amp;P.oldal forint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view="pageLayout" workbookViewId="0">
      <selection activeCell="A2" sqref="A2:F3"/>
    </sheetView>
  </sheetViews>
  <sheetFormatPr defaultColWidth="9.140625" defaultRowHeight="15.75" x14ac:dyDescent="0.25"/>
  <cols>
    <col min="1" max="1" width="35.85546875" style="670" customWidth="1"/>
    <col min="2" max="2" width="13.7109375" style="695" customWidth="1"/>
    <col min="3" max="3" width="14.5703125" style="670" customWidth="1"/>
    <col min="4" max="4" width="12.28515625" style="670" customWidth="1"/>
    <col min="5" max="5" width="17.85546875" style="670" customWidth="1"/>
    <col min="6" max="6" width="15.28515625" style="670" customWidth="1"/>
    <col min="7" max="7" width="13.5703125" style="670" customWidth="1"/>
    <col min="8" max="8" width="20.7109375" style="670" customWidth="1"/>
    <col min="9" max="9" width="18" style="670" customWidth="1"/>
    <col min="10" max="16384" width="9.140625" style="670"/>
  </cols>
  <sheetData>
    <row r="2" spans="1:6" x14ac:dyDescent="0.25">
      <c r="A2" s="861" t="s">
        <v>546</v>
      </c>
      <c r="B2" s="861"/>
      <c r="C2" s="861"/>
      <c r="D2" s="861"/>
      <c r="E2" s="861"/>
      <c r="F2" s="861"/>
    </row>
    <row r="3" spans="1:6" ht="20.25" customHeight="1" x14ac:dyDescent="0.25">
      <c r="A3" s="861"/>
      <c r="B3" s="861"/>
      <c r="C3" s="861"/>
      <c r="D3" s="861"/>
      <c r="E3" s="861"/>
      <c r="F3" s="861"/>
    </row>
    <row r="4" spans="1:6" x14ac:dyDescent="0.25">
      <c r="A4" s="671"/>
      <c r="B4" s="672"/>
      <c r="C4" s="671"/>
      <c r="D4" s="671"/>
      <c r="E4" s="671"/>
      <c r="F4" s="671"/>
    </row>
    <row r="5" spans="1:6" x14ac:dyDescent="0.25">
      <c r="A5" s="671"/>
      <c r="B5" s="673"/>
      <c r="C5" s="674"/>
      <c r="D5" s="671"/>
      <c r="E5" s="671"/>
      <c r="F5" s="671"/>
    </row>
    <row r="6" spans="1:6" x14ac:dyDescent="0.25">
      <c r="A6" s="675" t="s">
        <v>317</v>
      </c>
      <c r="B6" s="676"/>
      <c r="C6" s="677"/>
      <c r="D6" s="677"/>
      <c r="E6" s="677"/>
      <c r="F6" s="677"/>
    </row>
    <row r="7" spans="1:6" x14ac:dyDescent="0.25">
      <c r="A7" s="678"/>
      <c r="B7" s="676"/>
      <c r="C7" s="679"/>
      <c r="D7" s="677"/>
      <c r="E7" s="677"/>
      <c r="F7" s="680"/>
    </row>
    <row r="8" spans="1:6" x14ac:dyDescent="0.25">
      <c r="A8" s="678"/>
      <c r="B8" s="681"/>
      <c r="C8" s="682"/>
      <c r="D8" s="682"/>
      <c r="E8" s="682"/>
      <c r="F8" s="680"/>
    </row>
    <row r="9" spans="1:6" x14ac:dyDescent="0.25">
      <c r="A9" s="683" t="s">
        <v>318</v>
      </c>
      <c r="B9" s="684" t="s">
        <v>319</v>
      </c>
      <c r="C9" s="685" t="s">
        <v>452</v>
      </c>
      <c r="D9" s="685" t="s">
        <v>504</v>
      </c>
      <c r="E9" s="685" t="s">
        <v>320</v>
      </c>
      <c r="F9" s="685" t="s">
        <v>100</v>
      </c>
    </row>
    <row r="10" spans="1:6" x14ac:dyDescent="0.25">
      <c r="A10" s="686" t="s">
        <v>321</v>
      </c>
      <c r="B10" s="687"/>
      <c r="C10" s="687"/>
      <c r="D10" s="687"/>
      <c r="E10" s="687"/>
      <c r="F10" s="687">
        <f>SUM(B10:E10)</f>
        <v>0</v>
      </c>
    </row>
    <row r="11" spans="1:6" x14ac:dyDescent="0.25">
      <c r="A11" s="686" t="s">
        <v>322</v>
      </c>
      <c r="B11" s="687"/>
      <c r="C11" s="687"/>
      <c r="D11" s="687"/>
      <c r="E11" s="687"/>
      <c r="F11" s="687">
        <f>SUM(B11:E11)</f>
        <v>0</v>
      </c>
    </row>
    <row r="12" spans="1:6" x14ac:dyDescent="0.25">
      <c r="A12" s="686" t="s">
        <v>323</v>
      </c>
      <c r="B12" s="687"/>
      <c r="C12" s="687"/>
      <c r="D12" s="687"/>
      <c r="E12" s="687"/>
      <c r="F12" s="687">
        <f>SUM(B12:E12)</f>
        <v>0</v>
      </c>
    </row>
    <row r="13" spans="1:6" x14ac:dyDescent="0.25">
      <c r="A13" s="688" t="s">
        <v>100</v>
      </c>
      <c r="B13" s="689">
        <f>SUM(B10:B12)</f>
        <v>0</v>
      </c>
      <c r="C13" s="689"/>
      <c r="D13" s="689"/>
      <c r="E13" s="689"/>
      <c r="F13" s="689">
        <f>SUM(F10:F12)</f>
        <v>0</v>
      </c>
    </row>
    <row r="14" spans="1:6" ht="14.25" customHeight="1" x14ac:dyDescent="0.25">
      <c r="A14" s="860"/>
      <c r="B14" s="860"/>
      <c r="C14" s="860"/>
      <c r="D14" s="860"/>
      <c r="E14" s="860"/>
      <c r="F14" s="860"/>
    </row>
    <row r="15" spans="1:6" x14ac:dyDescent="0.25">
      <c r="A15" s="683" t="s">
        <v>324</v>
      </c>
      <c r="B15" s="684" t="s">
        <v>319</v>
      </c>
      <c r="C15" s="685" t="s">
        <v>452</v>
      </c>
      <c r="D15" s="685" t="s">
        <v>504</v>
      </c>
      <c r="E15" s="685" t="s">
        <v>320</v>
      </c>
      <c r="F15" s="685" t="s">
        <v>100</v>
      </c>
    </row>
    <row r="16" spans="1:6" x14ac:dyDescent="0.25">
      <c r="A16" s="686" t="s">
        <v>325</v>
      </c>
      <c r="B16" s="687"/>
      <c r="C16" s="687"/>
      <c r="D16" s="687"/>
      <c r="E16" s="687"/>
      <c r="F16" s="687">
        <f t="shared" ref="F16:F21" si="0">SUM(B16:E16)</f>
        <v>0</v>
      </c>
    </row>
    <row r="17" spans="1:6" x14ac:dyDescent="0.25">
      <c r="A17" s="686" t="s">
        <v>326</v>
      </c>
      <c r="B17" s="687"/>
      <c r="C17" s="687"/>
      <c r="D17" s="687"/>
      <c r="E17" s="687"/>
      <c r="F17" s="687">
        <f t="shared" si="0"/>
        <v>0</v>
      </c>
    </row>
    <row r="18" spans="1:6" x14ac:dyDescent="0.25">
      <c r="A18" s="686" t="s">
        <v>327</v>
      </c>
      <c r="B18" s="687"/>
      <c r="C18" s="687"/>
      <c r="D18" s="687"/>
      <c r="E18" s="687"/>
      <c r="F18" s="687">
        <f t="shared" si="0"/>
        <v>0</v>
      </c>
    </row>
    <row r="19" spans="1:6" x14ac:dyDescent="0.25">
      <c r="A19" s="686" t="s">
        <v>328</v>
      </c>
      <c r="B19" s="687"/>
      <c r="C19" s="687"/>
      <c r="D19" s="687"/>
      <c r="E19" s="687"/>
      <c r="F19" s="687">
        <f t="shared" si="0"/>
        <v>0</v>
      </c>
    </row>
    <row r="20" spans="1:6" x14ac:dyDescent="0.25">
      <c r="A20" s="686" t="s">
        <v>329</v>
      </c>
      <c r="B20" s="687"/>
      <c r="C20" s="687"/>
      <c r="D20" s="687"/>
      <c r="E20" s="687"/>
      <c r="F20" s="687">
        <f t="shared" si="0"/>
        <v>0</v>
      </c>
    </row>
    <row r="21" spans="1:6" x14ac:dyDescent="0.25">
      <c r="A21" s="686" t="s">
        <v>330</v>
      </c>
      <c r="B21" s="687"/>
      <c r="C21" s="687"/>
      <c r="D21" s="687"/>
      <c r="E21" s="687"/>
      <c r="F21" s="687">
        <f t="shared" si="0"/>
        <v>0</v>
      </c>
    </row>
    <row r="22" spans="1:6" x14ac:dyDescent="0.25">
      <c r="A22" s="688" t="s">
        <v>100</v>
      </c>
      <c r="B22" s="689">
        <f>SUM(B16:B21)</f>
        <v>0</v>
      </c>
      <c r="C22" s="689">
        <f>SUM(C16:C21)</f>
        <v>0</v>
      </c>
      <c r="D22" s="689">
        <f>SUM(D16:D21)</f>
        <v>0</v>
      </c>
      <c r="E22" s="689">
        <f>SUM(E16:E21)</f>
        <v>0</v>
      </c>
      <c r="F22" s="689">
        <f>SUM(F16:F21)</f>
        <v>0</v>
      </c>
    </row>
    <row r="23" spans="1:6" x14ac:dyDescent="0.25">
      <c r="A23" s="690"/>
      <c r="B23" s="691"/>
      <c r="C23" s="690"/>
      <c r="D23" s="690"/>
      <c r="E23" s="690"/>
      <c r="F23" s="690"/>
    </row>
    <row r="24" spans="1:6" x14ac:dyDescent="0.25">
      <c r="A24" s="690"/>
      <c r="B24" s="692"/>
      <c r="C24" s="693"/>
    </row>
    <row r="25" spans="1:6" x14ac:dyDescent="0.25">
      <c r="A25" s="675" t="s">
        <v>317</v>
      </c>
      <c r="B25" s="676"/>
      <c r="C25" s="677"/>
      <c r="D25" s="677"/>
      <c r="E25" s="677"/>
      <c r="F25" s="677"/>
    </row>
    <row r="26" spans="1:6" x14ac:dyDescent="0.25">
      <c r="A26" s="678"/>
      <c r="B26" s="676"/>
      <c r="C26" s="694"/>
      <c r="D26" s="694"/>
      <c r="E26" s="694"/>
      <c r="F26" s="694"/>
    </row>
    <row r="27" spans="1:6" x14ac:dyDescent="0.25">
      <c r="A27" s="678"/>
      <c r="B27" s="676"/>
      <c r="C27" s="694"/>
      <c r="D27" s="694"/>
      <c r="E27" s="694"/>
      <c r="F27" s="694"/>
    </row>
    <row r="28" spans="1:6" x14ac:dyDescent="0.25">
      <c r="A28" s="683" t="s">
        <v>318</v>
      </c>
      <c r="B28" s="684" t="s">
        <v>319</v>
      </c>
      <c r="C28" s="685" t="s">
        <v>452</v>
      </c>
      <c r="D28" s="685" t="s">
        <v>504</v>
      </c>
      <c r="E28" s="685" t="s">
        <v>320</v>
      </c>
      <c r="F28" s="685" t="s">
        <v>100</v>
      </c>
    </row>
    <row r="29" spans="1:6" x14ac:dyDescent="0.25">
      <c r="A29" s="686" t="s">
        <v>321</v>
      </c>
      <c r="B29" s="687"/>
      <c r="C29" s="687"/>
      <c r="D29" s="687"/>
      <c r="E29" s="687"/>
      <c r="F29" s="687">
        <f>SUM(B29:E29)</f>
        <v>0</v>
      </c>
    </row>
    <row r="30" spans="1:6" x14ac:dyDescent="0.25">
      <c r="A30" s="686" t="s">
        <v>322</v>
      </c>
      <c r="B30" s="687"/>
      <c r="C30" s="687"/>
      <c r="D30" s="687"/>
      <c r="E30" s="687"/>
      <c r="F30" s="687">
        <f>SUM(B30:E30)</f>
        <v>0</v>
      </c>
    </row>
    <row r="31" spans="1:6" x14ac:dyDescent="0.25">
      <c r="A31" s="686" t="s">
        <v>323</v>
      </c>
      <c r="B31" s="687"/>
      <c r="C31" s="687"/>
      <c r="D31" s="687"/>
      <c r="E31" s="687"/>
      <c r="F31" s="687">
        <f>SUM(B31:E31)</f>
        <v>0</v>
      </c>
    </row>
    <row r="32" spans="1:6" x14ac:dyDescent="0.25">
      <c r="A32" s="688" t="s">
        <v>100</v>
      </c>
      <c r="B32" s="689">
        <f>SUM(B29:B31)</f>
        <v>0</v>
      </c>
      <c r="C32" s="689">
        <f>SUM(C29:C31)</f>
        <v>0</v>
      </c>
      <c r="D32" s="689">
        <f>SUM(D29:D31)</f>
        <v>0</v>
      </c>
      <c r="E32" s="689">
        <f>SUM(E29:E31)</f>
        <v>0</v>
      </c>
      <c r="F32" s="687">
        <f>SUM(B32:E32)</f>
        <v>0</v>
      </c>
    </row>
    <row r="33" spans="1:6" ht="14.25" customHeight="1" x14ac:dyDescent="0.25">
      <c r="A33" s="860"/>
      <c r="B33" s="860"/>
      <c r="C33" s="860"/>
      <c r="D33" s="860"/>
      <c r="E33" s="860"/>
      <c r="F33" s="860"/>
    </row>
    <row r="34" spans="1:6" x14ac:dyDescent="0.25">
      <c r="A34" s="683" t="s">
        <v>324</v>
      </c>
      <c r="B34" s="684" t="s">
        <v>319</v>
      </c>
      <c r="C34" s="685" t="s">
        <v>452</v>
      </c>
      <c r="D34" s="685" t="s">
        <v>504</v>
      </c>
      <c r="E34" s="685" t="s">
        <v>320</v>
      </c>
      <c r="F34" s="685" t="s">
        <v>100</v>
      </c>
    </row>
    <row r="35" spans="1:6" x14ac:dyDescent="0.25">
      <c r="A35" s="686" t="s">
        <v>325</v>
      </c>
      <c r="B35" s="687">
        <v>0</v>
      </c>
      <c r="C35" s="687"/>
      <c r="D35" s="687"/>
      <c r="E35" s="687"/>
      <c r="F35" s="687">
        <f t="shared" ref="F35:F40" si="1">SUM(B35:E35)</f>
        <v>0</v>
      </c>
    </row>
    <row r="36" spans="1:6" x14ac:dyDescent="0.25">
      <c r="A36" s="686" t="s">
        <v>326</v>
      </c>
      <c r="B36" s="687"/>
      <c r="C36" s="687"/>
      <c r="D36" s="687"/>
      <c r="E36" s="687"/>
      <c r="F36" s="687">
        <f t="shared" si="1"/>
        <v>0</v>
      </c>
    </row>
    <row r="37" spans="1:6" x14ac:dyDescent="0.25">
      <c r="A37" s="686" t="s">
        <v>327</v>
      </c>
      <c r="B37" s="687"/>
      <c r="C37" s="687"/>
      <c r="D37" s="687"/>
      <c r="E37" s="687"/>
      <c r="F37" s="687">
        <f t="shared" si="1"/>
        <v>0</v>
      </c>
    </row>
    <row r="38" spans="1:6" x14ac:dyDescent="0.25">
      <c r="A38" s="686" t="s">
        <v>328</v>
      </c>
      <c r="B38" s="687"/>
      <c r="C38" s="687"/>
      <c r="D38" s="687"/>
      <c r="E38" s="687"/>
      <c r="F38" s="687">
        <f t="shared" si="1"/>
        <v>0</v>
      </c>
    </row>
    <row r="39" spans="1:6" x14ac:dyDescent="0.25">
      <c r="A39" s="686" t="s">
        <v>329</v>
      </c>
      <c r="B39" s="687"/>
      <c r="C39" s="687"/>
      <c r="D39" s="687"/>
      <c r="E39" s="687"/>
      <c r="F39" s="687">
        <f t="shared" si="1"/>
        <v>0</v>
      </c>
    </row>
    <row r="40" spans="1:6" x14ac:dyDescent="0.25">
      <c r="A40" s="686" t="s">
        <v>330</v>
      </c>
      <c r="B40" s="687"/>
      <c r="C40" s="687"/>
      <c r="D40" s="687"/>
      <c r="E40" s="687"/>
      <c r="F40" s="687">
        <f t="shared" si="1"/>
        <v>0</v>
      </c>
    </row>
    <row r="41" spans="1:6" x14ac:dyDescent="0.25">
      <c r="A41" s="688" t="s">
        <v>100</v>
      </c>
      <c r="B41" s="689">
        <f>SUM(B35:B40)</f>
        <v>0</v>
      </c>
      <c r="C41" s="688">
        <f>SUM(C35:C40)</f>
        <v>0</v>
      </c>
      <c r="D41" s="688">
        <f>SUM(D35:D40)</f>
        <v>0</v>
      </c>
      <c r="E41" s="688">
        <f>SUM(E35:E40)</f>
        <v>0</v>
      </c>
      <c r="F41" s="689">
        <f>SUM(F35:F40)</f>
        <v>0</v>
      </c>
    </row>
    <row r="44" spans="1:6" x14ac:dyDescent="0.25">
      <c r="B44" s="692"/>
      <c r="C44" s="693"/>
    </row>
    <row r="45" spans="1:6" x14ac:dyDescent="0.25">
      <c r="A45" s="675" t="s">
        <v>317</v>
      </c>
      <c r="B45" s="676"/>
      <c r="C45" s="677"/>
      <c r="D45" s="677"/>
      <c r="E45" s="677"/>
      <c r="F45" s="677"/>
    </row>
    <row r="46" spans="1:6" x14ac:dyDescent="0.25">
      <c r="A46" s="678"/>
      <c r="B46" s="681"/>
      <c r="C46" s="682"/>
      <c r="D46" s="682"/>
      <c r="E46" s="682"/>
      <c r="F46" s="682"/>
    </row>
    <row r="47" spans="1:6" x14ac:dyDescent="0.25">
      <c r="A47" s="683" t="s">
        <v>318</v>
      </c>
      <c r="B47" s="684" t="s">
        <v>319</v>
      </c>
      <c r="C47" s="685" t="s">
        <v>452</v>
      </c>
      <c r="D47" s="685" t="s">
        <v>504</v>
      </c>
      <c r="E47" s="685" t="s">
        <v>320</v>
      </c>
      <c r="F47" s="685" t="s">
        <v>100</v>
      </c>
    </row>
    <row r="48" spans="1:6" x14ac:dyDescent="0.25">
      <c r="A48" s="686" t="s">
        <v>321</v>
      </c>
      <c r="B48" s="687"/>
      <c r="C48" s="687"/>
      <c r="D48" s="687"/>
      <c r="E48" s="687"/>
      <c r="F48" s="687">
        <f>SUM(B48:E48)</f>
        <v>0</v>
      </c>
    </row>
    <row r="49" spans="1:6" x14ac:dyDescent="0.25">
      <c r="A49" s="686" t="s">
        <v>322</v>
      </c>
      <c r="B49" s="687"/>
      <c r="C49" s="687"/>
      <c r="D49" s="687"/>
      <c r="E49" s="687"/>
      <c r="F49" s="687">
        <f>SUM(B49:E49)</f>
        <v>0</v>
      </c>
    </row>
    <row r="50" spans="1:6" x14ac:dyDescent="0.25">
      <c r="A50" s="686" t="s">
        <v>323</v>
      </c>
      <c r="B50" s="687"/>
      <c r="C50" s="687"/>
      <c r="D50" s="687"/>
      <c r="E50" s="687"/>
      <c r="F50" s="687">
        <f>SUM(B50:E50)</f>
        <v>0</v>
      </c>
    </row>
    <row r="51" spans="1:6" x14ac:dyDescent="0.25">
      <c r="A51" s="688" t="s">
        <v>100</v>
      </c>
      <c r="B51" s="689">
        <f>SUM(B48:B50)</f>
        <v>0</v>
      </c>
      <c r="C51" s="689">
        <f>SUM(C48:C50)</f>
        <v>0</v>
      </c>
      <c r="D51" s="689">
        <f>SUM(D48:D50)</f>
        <v>0</v>
      </c>
      <c r="E51" s="689">
        <f>SUM(E48:E50)</f>
        <v>0</v>
      </c>
      <c r="F51" s="689">
        <f>SUM(F48:F50)</f>
        <v>0</v>
      </c>
    </row>
    <row r="52" spans="1:6" ht="14.25" customHeight="1" x14ac:dyDescent="0.25">
      <c r="A52" s="860"/>
      <c r="B52" s="860"/>
      <c r="C52" s="860"/>
      <c r="D52" s="860"/>
      <c r="E52" s="860"/>
      <c r="F52" s="860"/>
    </row>
    <row r="53" spans="1:6" x14ac:dyDescent="0.25">
      <c r="A53" s="683" t="s">
        <v>324</v>
      </c>
      <c r="B53" s="684" t="s">
        <v>319</v>
      </c>
      <c r="C53" s="685" t="s">
        <v>452</v>
      </c>
      <c r="D53" s="685" t="s">
        <v>504</v>
      </c>
      <c r="E53" s="685" t="s">
        <v>320</v>
      </c>
      <c r="F53" s="685" t="s">
        <v>100</v>
      </c>
    </row>
    <row r="54" spans="1:6" x14ac:dyDescent="0.25">
      <c r="A54" s="686" t="s">
        <v>325</v>
      </c>
      <c r="B54" s="687"/>
      <c r="C54" s="687"/>
      <c r="D54" s="687"/>
      <c r="E54" s="687"/>
      <c r="F54" s="687">
        <f>SUM(B54:E54)</f>
        <v>0</v>
      </c>
    </row>
    <row r="55" spans="1:6" x14ac:dyDescent="0.25">
      <c r="A55" s="686" t="s">
        <v>326</v>
      </c>
      <c r="B55" s="687"/>
      <c r="C55" s="687"/>
      <c r="D55" s="687"/>
      <c r="E55" s="687"/>
      <c r="F55" s="687">
        <f>SUM(B55:E55)</f>
        <v>0</v>
      </c>
    </row>
    <row r="56" spans="1:6" x14ac:dyDescent="0.25">
      <c r="A56" s="686" t="s">
        <v>327</v>
      </c>
      <c r="B56" s="687"/>
      <c r="C56" s="687"/>
      <c r="D56" s="687"/>
      <c r="E56" s="687"/>
      <c r="F56" s="687">
        <f>SUM(B56:E56)</f>
        <v>0</v>
      </c>
    </row>
    <row r="57" spans="1:6" x14ac:dyDescent="0.25">
      <c r="A57" s="686" t="s">
        <v>328</v>
      </c>
      <c r="B57" s="687"/>
      <c r="C57" s="687"/>
      <c r="D57" s="687"/>
      <c r="E57" s="687"/>
      <c r="F57" s="687">
        <f>SUM(B57:E57)</f>
        <v>0</v>
      </c>
    </row>
    <row r="58" spans="1:6" x14ac:dyDescent="0.25">
      <c r="A58" s="686" t="s">
        <v>329</v>
      </c>
      <c r="B58" s="687"/>
      <c r="C58" s="687"/>
      <c r="D58" s="687"/>
      <c r="E58" s="687"/>
      <c r="F58" s="687">
        <f>SUM(B58:E58)</f>
        <v>0</v>
      </c>
    </row>
    <row r="59" spans="1:6" x14ac:dyDescent="0.25">
      <c r="A59" s="686" t="s">
        <v>330</v>
      </c>
      <c r="B59" s="687"/>
      <c r="C59" s="687"/>
      <c r="D59" s="687"/>
      <c r="E59" s="687"/>
      <c r="F59" s="687"/>
    </row>
    <row r="60" spans="1:6" x14ac:dyDescent="0.25">
      <c r="A60" s="688" t="s">
        <v>100</v>
      </c>
      <c r="B60" s="689">
        <f>SUM(B54:B59)</f>
        <v>0</v>
      </c>
      <c r="C60" s="689">
        <f>SUM(C54:C59)</f>
        <v>0</v>
      </c>
      <c r="D60" s="689">
        <f>SUM(D54:D59)</f>
        <v>0</v>
      </c>
      <c r="E60" s="689">
        <f>SUM(E54:E59)</f>
        <v>0</v>
      </c>
      <c r="F60" s="689">
        <f>SUM(F54:F59)</f>
        <v>0</v>
      </c>
    </row>
  </sheetData>
  <sheetProtection selectLockedCells="1" selectUnlockedCells="1"/>
  <mergeCells count="4">
    <mergeCell ref="A14:F14"/>
    <mergeCell ref="A33:F33"/>
    <mergeCell ref="A52:F52"/>
    <mergeCell ref="A2:F3"/>
  </mergeCells>
  <phoneticPr fontId="21" type="noConversion"/>
  <pageMargins left="0.59027777777777779" right="0.59027777777777779" top="0.9559375" bottom="0.59027777777777779" header="0.51180555555555551" footer="0.51180555555555551"/>
  <pageSetup paperSize="9" scale="69" firstPageNumber="0" orientation="landscape" r:id="rId1"/>
  <headerFooter alignWithMargins="0">
    <oddHeader>&amp;L&amp;"Times New Roman,Normál"&amp;12Pécsely Község Önkormányzata&amp;C&amp;"Times New Roman,Normál"&amp;12 12. melléklet az önkormányzat 2017. évi költségvetéséről szóló 2/2017. (II.15.) önkormányzati rendelethez&amp;R&amp;"Times New Roman,Normál"&amp;12&amp;P. oldal forint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view="pageLayout" zoomScaleNormal="85" workbookViewId="0">
      <selection activeCell="F25" sqref="F25"/>
    </sheetView>
  </sheetViews>
  <sheetFormatPr defaultColWidth="9.140625" defaultRowHeight="12.75" x14ac:dyDescent="0.2"/>
  <cols>
    <col min="1" max="1" width="13.28515625" style="1" customWidth="1"/>
    <col min="2" max="2" width="31.140625" style="1" customWidth="1"/>
    <col min="3" max="3" width="11.5703125" style="1" customWidth="1"/>
    <col min="4" max="16384" width="9.140625" style="1"/>
  </cols>
  <sheetData>
    <row r="3" spans="1:8" ht="12.75" customHeight="1" x14ac:dyDescent="0.2">
      <c r="A3" s="862" t="s">
        <v>341</v>
      </c>
      <c r="B3" s="862"/>
      <c r="C3" s="862"/>
      <c r="D3" s="862"/>
      <c r="E3" s="862"/>
      <c r="F3" s="862"/>
      <c r="G3" s="862"/>
      <c r="H3" s="862"/>
    </row>
    <row r="4" spans="1:8" ht="12.75" customHeight="1" x14ac:dyDescent="0.2">
      <c r="A4" s="862" t="s">
        <v>528</v>
      </c>
      <c r="B4" s="862"/>
      <c r="C4" s="862"/>
      <c r="D4" s="862"/>
      <c r="E4" s="862"/>
      <c r="F4" s="862"/>
      <c r="G4" s="862"/>
      <c r="H4" s="86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7" spans="1:8" ht="12.75" customHeight="1" x14ac:dyDescent="0.2">
      <c r="A7" s="3" t="s">
        <v>101</v>
      </c>
      <c r="B7" s="3"/>
      <c r="C7" s="4" t="s">
        <v>342</v>
      </c>
      <c r="D7" s="3" t="s">
        <v>343</v>
      </c>
      <c r="E7" s="863" t="s">
        <v>344</v>
      </c>
      <c r="F7" s="863"/>
      <c r="G7" s="863"/>
      <c r="H7" s="863"/>
    </row>
    <row r="8" spans="1:8" ht="25.5" x14ac:dyDescent="0.2">
      <c r="A8" s="5"/>
      <c r="B8" s="6" t="s">
        <v>345</v>
      </c>
      <c r="C8" s="7" t="s">
        <v>346</v>
      </c>
      <c r="D8" s="6" t="s">
        <v>346</v>
      </c>
      <c r="E8" s="6" t="s">
        <v>269</v>
      </c>
      <c r="F8" s="7" t="s">
        <v>270</v>
      </c>
      <c r="G8" s="7" t="s">
        <v>271</v>
      </c>
      <c r="H8" s="8" t="s">
        <v>264</v>
      </c>
    </row>
    <row r="9" spans="1:8" x14ac:dyDescent="0.2">
      <c r="A9" s="9"/>
      <c r="B9" s="9"/>
      <c r="C9" s="10"/>
      <c r="D9" s="9"/>
      <c r="E9" s="9"/>
      <c r="F9" s="11"/>
      <c r="G9" s="11"/>
      <c r="H9" s="9"/>
    </row>
    <row r="10" spans="1:8" x14ac:dyDescent="0.2">
      <c r="A10" s="6" t="s">
        <v>274</v>
      </c>
      <c r="B10" s="6" t="s">
        <v>275</v>
      </c>
      <c r="C10" s="7" t="s">
        <v>276</v>
      </c>
      <c r="D10" s="7" t="s">
        <v>277</v>
      </c>
      <c r="E10" s="7" t="s">
        <v>278</v>
      </c>
      <c r="F10" s="7" t="s">
        <v>279</v>
      </c>
      <c r="G10" s="7" t="s">
        <v>280</v>
      </c>
      <c r="H10" s="7" t="s">
        <v>281</v>
      </c>
    </row>
    <row r="11" spans="1:8" x14ac:dyDescent="0.2">
      <c r="A11" s="12"/>
      <c r="B11" s="12" t="s">
        <v>347</v>
      </c>
      <c r="C11" s="12"/>
      <c r="D11" s="12"/>
      <c r="E11" s="12"/>
      <c r="F11" s="12"/>
      <c r="G11" s="12"/>
      <c r="H11" s="12"/>
    </row>
    <row r="12" spans="1:8" ht="25.5" x14ac:dyDescent="0.2">
      <c r="A12" s="12" t="s">
        <v>274</v>
      </c>
      <c r="B12" s="13" t="s">
        <v>348</v>
      </c>
      <c r="C12" s="14"/>
      <c r="D12" s="14"/>
      <c r="E12" s="15"/>
      <c r="F12" s="15"/>
      <c r="G12" s="15"/>
      <c r="H12" s="15"/>
    </row>
    <row r="13" spans="1:8" x14ac:dyDescent="0.2">
      <c r="A13" s="16" t="s">
        <v>275</v>
      </c>
      <c r="B13" s="17"/>
      <c r="C13" s="18"/>
      <c r="D13" s="18"/>
      <c r="E13" s="18"/>
      <c r="F13" s="18"/>
      <c r="G13" s="18"/>
      <c r="H13" s="18"/>
    </row>
    <row r="14" spans="1:8" x14ac:dyDescent="0.2">
      <c r="A14" s="12" t="s">
        <v>276</v>
      </c>
      <c r="B14" s="19" t="s">
        <v>349</v>
      </c>
      <c r="C14" s="15"/>
      <c r="D14" s="15"/>
      <c r="E14" s="15"/>
      <c r="F14" s="15"/>
      <c r="G14" s="15"/>
      <c r="H14" s="15"/>
    </row>
    <row r="15" spans="1:8" x14ac:dyDescent="0.2">
      <c r="A15" s="12" t="s">
        <v>277</v>
      </c>
      <c r="B15" s="20"/>
      <c r="C15" s="15"/>
      <c r="D15" s="15"/>
      <c r="E15" s="15"/>
      <c r="F15" s="15"/>
      <c r="G15" s="15"/>
      <c r="H15" s="15"/>
    </row>
    <row r="16" spans="1:8" x14ac:dyDescent="0.2">
      <c r="A16" s="3" t="s">
        <v>278</v>
      </c>
      <c r="B16" s="19" t="s">
        <v>350</v>
      </c>
      <c r="C16" s="21"/>
      <c r="D16" s="21"/>
      <c r="E16" s="21"/>
      <c r="F16" s="21"/>
      <c r="G16" s="21"/>
      <c r="H16" s="21"/>
    </row>
    <row r="17" spans="1:8" ht="25.5" x14ac:dyDescent="0.2">
      <c r="A17" s="12" t="s">
        <v>279</v>
      </c>
      <c r="B17" s="13" t="s">
        <v>351</v>
      </c>
      <c r="C17" s="14"/>
      <c r="D17" s="14"/>
      <c r="E17" s="22"/>
      <c r="F17" s="22"/>
      <c r="G17" s="22"/>
      <c r="H17" s="22"/>
    </row>
    <row r="18" spans="1:8" x14ac:dyDescent="0.2">
      <c r="A18" s="16" t="s">
        <v>280</v>
      </c>
      <c r="B18" s="18"/>
      <c r="C18" s="18"/>
      <c r="D18" s="18"/>
      <c r="E18" s="23"/>
      <c r="F18" s="23"/>
      <c r="G18" s="23"/>
      <c r="H18" s="23"/>
    </row>
    <row r="19" spans="1:8" x14ac:dyDescent="0.2">
      <c r="A19" s="12" t="s">
        <v>281</v>
      </c>
      <c r="B19" s="19" t="s">
        <v>352</v>
      </c>
      <c r="C19" s="15"/>
      <c r="D19" s="15"/>
      <c r="E19" s="22"/>
      <c r="F19" s="22"/>
      <c r="G19" s="22"/>
      <c r="H19" s="22"/>
    </row>
    <row r="20" spans="1:8" x14ac:dyDescent="0.2">
      <c r="A20" s="12" t="s">
        <v>282</v>
      </c>
      <c r="B20" s="18"/>
      <c r="C20" s="18"/>
      <c r="D20" s="18"/>
      <c r="E20" s="24"/>
      <c r="F20" s="24"/>
      <c r="G20" s="24"/>
      <c r="H20" s="24"/>
    </row>
    <row r="21" spans="1:8" x14ac:dyDescent="0.2">
      <c r="A21" s="3" t="s">
        <v>283</v>
      </c>
      <c r="B21" s="25" t="s">
        <v>353</v>
      </c>
      <c r="C21" s="21"/>
      <c r="D21" s="21"/>
      <c r="E21" s="26"/>
      <c r="F21" s="26"/>
      <c r="G21" s="26"/>
      <c r="H21" s="26"/>
    </row>
    <row r="22" spans="1:8" x14ac:dyDescent="0.2">
      <c r="A22" s="12" t="s">
        <v>284</v>
      </c>
      <c r="B22" s="27" t="s">
        <v>354</v>
      </c>
      <c r="C22" s="14"/>
      <c r="D22" s="14"/>
      <c r="E22" s="22"/>
      <c r="F22" s="22"/>
      <c r="G22" s="22"/>
      <c r="H22" s="22"/>
    </row>
    <row r="23" spans="1:8" x14ac:dyDescent="0.2">
      <c r="A23" s="12" t="s">
        <v>285</v>
      </c>
      <c r="B23" s="12" t="s">
        <v>355</v>
      </c>
      <c r="C23" s="12"/>
      <c r="D23" s="12"/>
      <c r="E23" s="12"/>
      <c r="F23" s="12"/>
      <c r="G23" s="12"/>
      <c r="H23" s="12"/>
    </row>
    <row r="24" spans="1:8" ht="25.5" x14ac:dyDescent="0.2">
      <c r="A24" s="12" t="s">
        <v>291</v>
      </c>
      <c r="B24" s="13" t="s">
        <v>348</v>
      </c>
      <c r="C24" s="14"/>
      <c r="D24" s="14"/>
      <c r="E24" s="15"/>
      <c r="F24" s="15"/>
      <c r="G24" s="15"/>
      <c r="H24" s="15"/>
    </row>
    <row r="25" spans="1:8" x14ac:dyDescent="0.2">
      <c r="A25" s="16" t="s">
        <v>356</v>
      </c>
      <c r="B25" s="17"/>
      <c r="C25" s="18"/>
      <c r="D25" s="18"/>
      <c r="E25" s="18"/>
      <c r="F25" s="18"/>
      <c r="G25" s="18"/>
      <c r="H25" s="18"/>
    </row>
    <row r="26" spans="1:8" x14ac:dyDescent="0.2">
      <c r="A26" s="12" t="s">
        <v>357</v>
      </c>
      <c r="B26" s="19" t="s">
        <v>349</v>
      </c>
      <c r="C26" s="15"/>
      <c r="D26" s="15"/>
      <c r="E26" s="15"/>
      <c r="F26" s="15"/>
      <c r="G26" s="15"/>
      <c r="H26" s="15"/>
    </row>
    <row r="27" spans="1:8" x14ac:dyDescent="0.2">
      <c r="A27" s="12" t="s">
        <v>358</v>
      </c>
      <c r="B27" s="20"/>
      <c r="C27" s="15"/>
      <c r="D27" s="15"/>
      <c r="E27" s="15"/>
      <c r="F27" s="15"/>
      <c r="G27" s="15"/>
      <c r="H27" s="15"/>
    </row>
    <row r="28" spans="1:8" x14ac:dyDescent="0.2">
      <c r="A28" s="3" t="s">
        <v>359</v>
      </c>
      <c r="B28" s="19" t="s">
        <v>350</v>
      </c>
      <c r="C28" s="21"/>
      <c r="D28" s="21"/>
      <c r="E28" s="21"/>
      <c r="F28" s="21"/>
      <c r="G28" s="21"/>
      <c r="H28" s="21"/>
    </row>
    <row r="29" spans="1:8" ht="25.5" x14ac:dyDescent="0.2">
      <c r="A29" s="12" t="s">
        <v>360</v>
      </c>
      <c r="B29" s="13" t="s">
        <v>351</v>
      </c>
      <c r="C29" s="14"/>
      <c r="D29" s="14"/>
      <c r="E29" s="22"/>
      <c r="F29" s="22"/>
      <c r="G29" s="22"/>
      <c r="H29" s="22"/>
    </row>
    <row r="30" spans="1:8" x14ac:dyDescent="0.2">
      <c r="A30" s="16" t="s">
        <v>361</v>
      </c>
      <c r="B30" s="18"/>
      <c r="C30" s="18"/>
      <c r="D30" s="18"/>
      <c r="E30" s="23"/>
      <c r="F30" s="23"/>
      <c r="G30" s="23"/>
      <c r="H30" s="23"/>
    </row>
    <row r="31" spans="1:8" x14ac:dyDescent="0.2">
      <c r="A31" s="12" t="s">
        <v>362</v>
      </c>
      <c r="B31" s="15"/>
      <c r="C31" s="15"/>
      <c r="D31" s="15"/>
      <c r="E31" s="24"/>
      <c r="F31" s="24"/>
      <c r="G31" s="24"/>
      <c r="H31" s="24"/>
    </row>
    <row r="32" spans="1:8" x14ac:dyDescent="0.2">
      <c r="A32" s="12" t="s">
        <v>363</v>
      </c>
      <c r="B32" s="15"/>
      <c r="C32" s="15"/>
      <c r="D32" s="15"/>
      <c r="E32" s="24"/>
      <c r="F32" s="24"/>
      <c r="G32" s="24"/>
      <c r="H32" s="24"/>
    </row>
    <row r="33" spans="1:8" x14ac:dyDescent="0.2">
      <c r="A33" s="12" t="s">
        <v>364</v>
      </c>
      <c r="B33" s="19" t="s">
        <v>349</v>
      </c>
      <c r="C33" s="15"/>
      <c r="D33" s="15"/>
      <c r="E33" s="24"/>
      <c r="F33" s="24"/>
      <c r="G33" s="24"/>
      <c r="H33" s="24"/>
    </row>
    <row r="34" spans="1:8" x14ac:dyDescent="0.2">
      <c r="A34" s="12" t="s">
        <v>365</v>
      </c>
      <c r="B34" s="15"/>
      <c r="C34" s="15"/>
      <c r="D34" s="15"/>
      <c r="E34" s="24"/>
      <c r="F34" s="24"/>
      <c r="G34" s="24"/>
      <c r="H34" s="24"/>
    </row>
    <row r="35" spans="1:8" x14ac:dyDescent="0.2">
      <c r="A35" s="12" t="s">
        <v>366</v>
      </c>
      <c r="B35" s="15"/>
      <c r="C35" s="15"/>
      <c r="D35" s="15"/>
      <c r="E35" s="24"/>
      <c r="F35" s="24"/>
      <c r="G35" s="24"/>
      <c r="H35" s="24"/>
    </row>
    <row r="36" spans="1:8" x14ac:dyDescent="0.2">
      <c r="A36" s="12" t="s">
        <v>367</v>
      </c>
      <c r="B36" s="28"/>
      <c r="C36" s="15"/>
      <c r="D36" s="15"/>
      <c r="E36" s="24"/>
      <c r="F36" s="24"/>
      <c r="G36" s="24"/>
      <c r="H36" s="24"/>
    </row>
    <row r="37" spans="1:8" x14ac:dyDescent="0.2">
      <c r="A37" s="3" t="s">
        <v>368</v>
      </c>
      <c r="B37" s="25" t="s">
        <v>350</v>
      </c>
      <c r="C37" s="21"/>
      <c r="D37" s="21"/>
      <c r="E37" s="29"/>
      <c r="F37" s="29"/>
      <c r="G37" s="29"/>
      <c r="H37" s="29"/>
    </row>
    <row r="38" spans="1:8" x14ac:dyDescent="0.2">
      <c r="A38" s="12" t="s">
        <v>369</v>
      </c>
      <c r="B38" s="27" t="s">
        <v>370</v>
      </c>
      <c r="C38" s="14"/>
      <c r="D38" s="14"/>
      <c r="E38" s="22"/>
      <c r="F38" s="22"/>
      <c r="G38" s="22"/>
      <c r="H38" s="22"/>
    </row>
    <row r="39" spans="1:8" x14ac:dyDescent="0.2">
      <c r="A39" s="30" t="s">
        <v>371</v>
      </c>
      <c r="B39" s="27" t="s">
        <v>372</v>
      </c>
      <c r="C39" s="20"/>
      <c r="D39" s="20"/>
      <c r="E39" s="31">
        <f>E22+E38</f>
        <v>0</v>
      </c>
      <c r="F39" s="31">
        <f>F22+F38</f>
        <v>0</v>
      </c>
      <c r="G39" s="31">
        <f>G22+G38</f>
        <v>0</v>
      </c>
      <c r="H39" s="31">
        <f>H22+H38</f>
        <v>0</v>
      </c>
    </row>
  </sheetData>
  <sheetProtection selectLockedCells="1" selectUnlockedCells="1"/>
  <mergeCells count="3">
    <mergeCell ref="A3:H3"/>
    <mergeCell ref="A4:H4"/>
    <mergeCell ref="E7:H7"/>
  </mergeCells>
  <phoneticPr fontId="21" type="noConversion"/>
  <pageMargins left="0.70866141732283472" right="0.70866141732283472" top="0.74803149606299213" bottom="0.74803149606299213" header="0.31496062992125984" footer="0.51181102362204722"/>
  <pageSetup paperSize="9" scale="87" firstPageNumber="0" orientation="portrait" r:id="rId1"/>
  <headerFooter alignWithMargins="0">
    <oddHeader>&amp;LPécsely Község Önkormányzata&amp;C
13. melléklet a .../2017. (.....) rendelet tervezethez&amp;R&amp;P. oldal forint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topLeftCell="A3" zoomScaleNormal="100" workbookViewId="0">
      <selection activeCell="B3" sqref="B3"/>
    </sheetView>
  </sheetViews>
  <sheetFormatPr defaultColWidth="9.140625" defaultRowHeight="15.75" x14ac:dyDescent="0.25"/>
  <cols>
    <col min="1" max="1" width="40.42578125" style="87" customWidth="1"/>
    <col min="2" max="2" width="13" style="37" customWidth="1"/>
    <col min="3" max="3" width="14.28515625" style="37" customWidth="1"/>
    <col min="4" max="4" width="14.42578125" style="37" bestFit="1" customWidth="1"/>
    <col min="5" max="5" width="14.140625" style="38" customWidth="1"/>
    <col min="6" max="16384" width="9.140625" style="39"/>
  </cols>
  <sheetData>
    <row r="1" spans="1:6" hidden="1" x14ac:dyDescent="0.25">
      <c r="A1" s="36"/>
    </row>
    <row r="2" spans="1:6" hidden="1" x14ac:dyDescent="0.25">
      <c r="A2" s="36"/>
    </row>
    <row r="3" spans="1:6" s="43" customFormat="1" ht="47.25" x14ac:dyDescent="0.2">
      <c r="A3" s="40" t="s">
        <v>234</v>
      </c>
      <c r="B3" s="40" t="s">
        <v>529</v>
      </c>
      <c r="C3" s="41" t="s">
        <v>479</v>
      </c>
      <c r="D3" s="42" t="s">
        <v>480</v>
      </c>
      <c r="E3" s="42" t="s">
        <v>523</v>
      </c>
    </row>
    <row r="4" spans="1:6" ht="31.5" x14ac:dyDescent="0.25">
      <c r="A4" s="44" t="s">
        <v>481</v>
      </c>
      <c r="B4" s="45">
        <f>'1.sz.tábla'!B7</f>
        <v>30310196</v>
      </c>
      <c r="C4" s="45">
        <v>30500000</v>
      </c>
      <c r="D4" s="45">
        <v>31000000</v>
      </c>
      <c r="E4" s="45">
        <v>31050000</v>
      </c>
      <c r="F4" s="46"/>
    </row>
    <row r="5" spans="1:6" ht="31.5" x14ac:dyDescent="0.25">
      <c r="A5" s="44" t="s">
        <v>482</v>
      </c>
      <c r="B5" s="45">
        <f>'1.sz.tábla'!B8</f>
        <v>0</v>
      </c>
      <c r="C5" s="45">
        <f>'1.sz.tábla'!B8</f>
        <v>0</v>
      </c>
      <c r="D5" s="45">
        <f>'1.sz.tábla'!E8</f>
        <v>0</v>
      </c>
      <c r="E5" s="45">
        <v>0</v>
      </c>
      <c r="F5" s="46"/>
    </row>
    <row r="6" spans="1:6" x14ac:dyDescent="0.25">
      <c r="A6" s="44" t="s">
        <v>6</v>
      </c>
      <c r="B6" s="45">
        <f>'1.sz.tábla'!B9</f>
        <v>20450000</v>
      </c>
      <c r="C6" s="45">
        <v>20650000</v>
      </c>
      <c r="D6" s="47">
        <v>20850000</v>
      </c>
      <c r="E6" s="48">
        <v>21050000</v>
      </c>
    </row>
    <row r="7" spans="1:6" x14ac:dyDescent="0.25">
      <c r="A7" s="44" t="s">
        <v>7</v>
      </c>
      <c r="B7" s="45">
        <f>'1.sz.tábla'!B10</f>
        <v>7300000</v>
      </c>
      <c r="C7" s="45">
        <v>7000000</v>
      </c>
      <c r="D7" s="47">
        <v>6100000</v>
      </c>
      <c r="E7" s="48">
        <v>6200000</v>
      </c>
      <c r="F7" s="46"/>
    </row>
    <row r="8" spans="1:6" x14ac:dyDescent="0.25">
      <c r="A8" s="44" t="s">
        <v>8</v>
      </c>
      <c r="B8" s="45">
        <f>'1.sz.tábla'!B11</f>
        <v>0</v>
      </c>
      <c r="C8" s="45">
        <f>'1.sz.tábla'!B11</f>
        <v>0</v>
      </c>
      <c r="D8" s="47">
        <v>0</v>
      </c>
      <c r="E8" s="48">
        <v>0</v>
      </c>
      <c r="F8" s="46"/>
    </row>
    <row r="9" spans="1:6" x14ac:dyDescent="0.25">
      <c r="A9" s="50" t="s">
        <v>9</v>
      </c>
      <c r="B9" s="45">
        <f>'1.sz.tábla'!B12</f>
        <v>0</v>
      </c>
      <c r="C9" s="45">
        <f>'1.sz.tábla'!B12</f>
        <v>0</v>
      </c>
      <c r="D9" s="45">
        <f>'1.sz.tábla'!E12</f>
        <v>0</v>
      </c>
      <c r="E9" s="45">
        <f>'1.sz.tábla'!F12</f>
        <v>0</v>
      </c>
    </row>
    <row r="10" spans="1:6" ht="30.75" x14ac:dyDescent="0.25">
      <c r="A10" s="51" t="s">
        <v>10</v>
      </c>
      <c r="B10" s="45">
        <f>'1.sz.tábla'!B13</f>
        <v>0</v>
      </c>
      <c r="C10" s="45">
        <f>'1.sz.tábla'!B13</f>
        <v>0</v>
      </c>
      <c r="D10" s="45">
        <f>'1.sz.tábla'!E13</f>
        <v>0</v>
      </c>
      <c r="E10" s="45">
        <f>'1.sz.tábla'!F13</f>
        <v>0</v>
      </c>
    </row>
    <row r="11" spans="1:6" x14ac:dyDescent="0.25">
      <c r="A11" s="52" t="s">
        <v>11</v>
      </c>
      <c r="B11" s="53">
        <f>SUM(B4:B10)</f>
        <v>58060196</v>
      </c>
      <c r="C11" s="53">
        <f>SUM(C4:C9)</f>
        <v>58150000</v>
      </c>
      <c r="D11" s="54">
        <f>SUM(D4:D9)</f>
        <v>57950000</v>
      </c>
      <c r="E11" s="55">
        <f>SUM(E4:E9)</f>
        <v>58300000</v>
      </c>
    </row>
    <row r="12" spans="1:6" x14ac:dyDescent="0.25">
      <c r="A12" s="52" t="s">
        <v>483</v>
      </c>
      <c r="B12" s="56"/>
      <c r="C12" s="56"/>
      <c r="D12" s="56"/>
      <c r="E12" s="56"/>
      <c r="F12" s="46"/>
    </row>
    <row r="13" spans="1:6" ht="31.5" x14ac:dyDescent="0.25">
      <c r="A13" s="57" t="s">
        <v>484</v>
      </c>
      <c r="B13" s="45">
        <f>'1.sz.tábla'!B16</f>
        <v>51000000</v>
      </c>
      <c r="C13" s="45">
        <v>6500000</v>
      </c>
      <c r="D13" s="58">
        <v>6000000</v>
      </c>
      <c r="E13" s="59">
        <v>6500000</v>
      </c>
      <c r="F13" s="46"/>
    </row>
    <row r="14" spans="1:6" ht="63" x14ac:dyDescent="0.25">
      <c r="A14" s="60" t="s">
        <v>485</v>
      </c>
      <c r="B14" s="45">
        <f>'1.sz.tábla'!B17</f>
        <v>30155000</v>
      </c>
      <c r="C14" s="45">
        <v>30000000</v>
      </c>
      <c r="D14" s="62">
        <v>20000000</v>
      </c>
      <c r="E14" s="48">
        <v>20000000</v>
      </c>
      <c r="F14" s="46"/>
    </row>
    <row r="15" spans="1:6" x14ac:dyDescent="0.25">
      <c r="A15" s="63" t="s">
        <v>14</v>
      </c>
      <c r="B15" s="53">
        <f>SUM(B13:B14)</f>
        <v>81155000</v>
      </c>
      <c r="C15" s="54">
        <f>SUM(C13:C14)</f>
        <v>36500000</v>
      </c>
      <c r="D15" s="55">
        <f>SUM(D13:D14)</f>
        <v>26000000</v>
      </c>
      <c r="E15" s="55">
        <f>SUM(E13:E14)</f>
        <v>26500000</v>
      </c>
      <c r="F15" s="46"/>
    </row>
    <row r="16" spans="1:6" x14ac:dyDescent="0.25">
      <c r="A16" s="64" t="s">
        <v>15</v>
      </c>
      <c r="B16" s="65">
        <f>B11+B15</f>
        <v>139215196</v>
      </c>
      <c r="C16" s="66">
        <f>C11+C15</f>
        <v>94650000</v>
      </c>
      <c r="D16" s="67">
        <f>D11+D15</f>
        <v>83950000</v>
      </c>
      <c r="E16" s="67">
        <f>E11+E15</f>
        <v>84800000</v>
      </c>
    </row>
    <row r="17" spans="1:13" s="72" customFormat="1" x14ac:dyDescent="0.25">
      <c r="A17" s="68"/>
      <c r="B17" s="45"/>
      <c r="C17" s="69"/>
      <c r="D17" s="62"/>
      <c r="E17" s="70"/>
      <c r="F17" s="71"/>
      <c r="G17" s="71"/>
      <c r="H17" s="71"/>
      <c r="I17" s="71"/>
      <c r="J17" s="71"/>
      <c r="K17" s="71"/>
      <c r="L17" s="71"/>
      <c r="M17" s="71"/>
    </row>
    <row r="18" spans="1:13" s="74" customFormat="1" x14ac:dyDescent="0.25">
      <c r="A18" s="52" t="s">
        <v>486</v>
      </c>
      <c r="B18" s="53">
        <f>SUM(B19:B23)</f>
        <v>68631499</v>
      </c>
      <c r="C18" s="54">
        <f>SUM(C19:C23)</f>
        <v>59345000</v>
      </c>
      <c r="D18" s="55">
        <f>SUM(D19:D23)</f>
        <v>58680000</v>
      </c>
      <c r="E18" s="55">
        <f>SUM(E19:E23)</f>
        <v>60015000</v>
      </c>
      <c r="F18" s="73"/>
      <c r="G18" s="73"/>
      <c r="H18" s="73"/>
      <c r="I18" s="73"/>
      <c r="J18" s="73"/>
      <c r="K18" s="73"/>
      <c r="L18" s="73"/>
      <c r="M18" s="73"/>
    </row>
    <row r="19" spans="1:13" s="74" customFormat="1" x14ac:dyDescent="0.25">
      <c r="A19" s="44" t="s">
        <v>107</v>
      </c>
      <c r="B19" s="45">
        <f>'3.tábla'!B7</f>
        <v>15482750</v>
      </c>
      <c r="C19" s="75">
        <v>15500000</v>
      </c>
      <c r="D19" s="62">
        <v>14000000</v>
      </c>
      <c r="E19" s="76">
        <v>14500000</v>
      </c>
      <c r="F19" s="73"/>
      <c r="G19" s="73"/>
      <c r="H19" s="73"/>
      <c r="I19" s="73"/>
      <c r="J19" s="73"/>
      <c r="K19" s="73"/>
      <c r="L19" s="73"/>
      <c r="M19" s="73"/>
    </row>
    <row r="20" spans="1:13" s="72" customFormat="1" ht="31.5" x14ac:dyDescent="0.25">
      <c r="A20" s="44" t="s">
        <v>487</v>
      </c>
      <c r="B20" s="45">
        <f>'3.tábla'!B8</f>
        <v>3800000</v>
      </c>
      <c r="C20" s="61">
        <f>13500000*0.27</f>
        <v>3645000.0000000005</v>
      </c>
      <c r="D20" s="62">
        <f>14000000*0.27</f>
        <v>3780000.0000000005</v>
      </c>
      <c r="E20" s="48">
        <f>14500000*0.27</f>
        <v>3915000.0000000005</v>
      </c>
      <c r="F20" s="77"/>
      <c r="G20" s="77"/>
      <c r="H20" s="77"/>
      <c r="I20" s="71"/>
      <c r="J20" s="71"/>
      <c r="K20" s="71"/>
      <c r="L20" s="71"/>
      <c r="M20" s="71"/>
    </row>
    <row r="21" spans="1:13" s="72" customFormat="1" x14ac:dyDescent="0.25">
      <c r="A21" s="44" t="s">
        <v>105</v>
      </c>
      <c r="B21" s="45">
        <f>'3.tábla'!B9</f>
        <v>32296000</v>
      </c>
      <c r="C21" s="61">
        <v>29000000</v>
      </c>
      <c r="D21" s="62">
        <v>29500000</v>
      </c>
      <c r="E21" s="48">
        <v>30000000</v>
      </c>
      <c r="F21" s="77"/>
      <c r="G21" s="77"/>
      <c r="H21" s="77"/>
      <c r="I21" s="71"/>
      <c r="J21" s="71"/>
      <c r="K21" s="71"/>
      <c r="L21" s="71"/>
      <c r="M21" s="71"/>
    </row>
    <row r="22" spans="1:13" s="72" customFormat="1" x14ac:dyDescent="0.25">
      <c r="A22" s="44" t="s">
        <v>108</v>
      </c>
      <c r="B22" s="45">
        <f>'3.tábla'!B48</f>
        <v>3950000</v>
      </c>
      <c r="C22" s="61">
        <v>1800000</v>
      </c>
      <c r="D22" s="62">
        <v>1900000</v>
      </c>
      <c r="E22" s="48">
        <v>2000000</v>
      </c>
      <c r="F22" s="77"/>
      <c r="G22" s="77"/>
      <c r="H22" s="77"/>
      <c r="I22" s="71"/>
      <c r="J22" s="71"/>
      <c r="K22" s="71"/>
      <c r="L22" s="71"/>
      <c r="M22" s="71"/>
    </row>
    <row r="23" spans="1:13" x14ac:dyDescent="0.25">
      <c r="A23" s="44" t="s">
        <v>106</v>
      </c>
      <c r="B23" s="45">
        <f>'3.tábla'!B35</f>
        <v>13102749</v>
      </c>
      <c r="C23" s="61">
        <v>9400000</v>
      </c>
      <c r="D23" s="62">
        <v>9500000</v>
      </c>
      <c r="E23" s="48">
        <v>9600000</v>
      </c>
    </row>
    <row r="24" spans="1:13" x14ac:dyDescent="0.25">
      <c r="A24" s="52" t="s">
        <v>488</v>
      </c>
      <c r="B24" s="53">
        <f>SUM(B25:B27)</f>
        <v>33301000</v>
      </c>
      <c r="C24" s="54">
        <f>SUM(C25:C26)</f>
        <v>18000000</v>
      </c>
      <c r="D24" s="55">
        <f>SUM(D25:D26)</f>
        <v>17500000</v>
      </c>
      <c r="E24" s="55">
        <f>SUM(E25:E26)</f>
        <v>19500000</v>
      </c>
    </row>
    <row r="25" spans="1:13" x14ac:dyDescent="0.25">
      <c r="A25" s="44" t="s">
        <v>489</v>
      </c>
      <c r="B25" s="45">
        <f>'1.sz.tábla'!B29</f>
        <v>2430000</v>
      </c>
      <c r="C25" s="61">
        <v>5000000</v>
      </c>
      <c r="D25" s="62">
        <v>5500000</v>
      </c>
      <c r="E25" s="48">
        <v>6000000</v>
      </c>
    </row>
    <row r="26" spans="1:13" x14ac:dyDescent="0.25">
      <c r="A26" s="44" t="s">
        <v>492</v>
      </c>
      <c r="B26" s="45">
        <f>'1.sz.tábla'!B30</f>
        <v>30871000</v>
      </c>
      <c r="C26" s="61">
        <v>13000000</v>
      </c>
      <c r="D26" s="62">
        <v>12000000</v>
      </c>
      <c r="E26" s="48">
        <v>13500000</v>
      </c>
    </row>
    <row r="27" spans="1:13" x14ac:dyDescent="0.25">
      <c r="A27" s="44" t="s">
        <v>192</v>
      </c>
      <c r="B27" s="45">
        <f>'1.sz.tábla'!B32</f>
        <v>0</v>
      </c>
      <c r="C27" s="45">
        <f>'1.sz.tábla'!C32</f>
        <v>0</v>
      </c>
      <c r="D27" s="45">
        <f>'1.sz.tábla'!E32</f>
        <v>0</v>
      </c>
      <c r="E27" s="45">
        <f>'1.sz.tábla'!F32</f>
        <v>0</v>
      </c>
    </row>
    <row r="28" spans="1:13" x14ac:dyDescent="0.25">
      <c r="A28" s="52" t="s">
        <v>21</v>
      </c>
      <c r="B28" s="53">
        <f>SUM(B29:B30)</f>
        <v>36121697</v>
      </c>
      <c r="C28" s="53">
        <f>SUM(C29:C30)</f>
        <v>17485996</v>
      </c>
      <c r="D28" s="54">
        <f>SUM(D29:D30)</f>
        <v>7770000</v>
      </c>
      <c r="E28" s="54">
        <f>SUM(E29:E30)</f>
        <v>5285000</v>
      </c>
    </row>
    <row r="29" spans="1:13" s="72" customFormat="1" x14ac:dyDescent="0.25">
      <c r="A29" s="44" t="s">
        <v>22</v>
      </c>
      <c r="B29" s="45">
        <f>'1.sz.tábla'!B34</f>
        <v>36121697</v>
      </c>
      <c r="C29" s="49">
        <f>94650000-77345000</f>
        <v>17305000</v>
      </c>
      <c r="D29" s="47">
        <f>83950000-76180000</f>
        <v>7770000</v>
      </c>
      <c r="E29" s="48">
        <f>84800000-79515000</f>
        <v>5285000</v>
      </c>
    </row>
    <row r="30" spans="1:13" s="72" customFormat="1" x14ac:dyDescent="0.25">
      <c r="A30" s="44" t="s">
        <v>23</v>
      </c>
      <c r="B30" s="45">
        <f>'1.sz.tábla'!B35</f>
        <v>0</v>
      </c>
      <c r="C30" s="45">
        <f>'1.sz.tábla'!C35</f>
        <v>180996</v>
      </c>
      <c r="D30" s="45">
        <f>'1.sz.tábla'!E35</f>
        <v>0</v>
      </c>
      <c r="E30" s="45">
        <f>'1.sz.tábla'!F35</f>
        <v>0</v>
      </c>
    </row>
    <row r="31" spans="1:13" x14ac:dyDescent="0.25">
      <c r="A31" s="52" t="s">
        <v>24</v>
      </c>
      <c r="B31" s="53">
        <f>SUM(B28,B24,B18)</f>
        <v>138054196</v>
      </c>
      <c r="C31" s="53">
        <f>SUM(C28,C24,C18)</f>
        <v>94830996</v>
      </c>
      <c r="D31" s="54">
        <f>SUM(D28,D24,D18)</f>
        <v>83950000</v>
      </c>
      <c r="E31" s="55">
        <f>SUM(E28,E24,E18)</f>
        <v>84800000</v>
      </c>
    </row>
    <row r="32" spans="1:13" x14ac:dyDescent="0.25">
      <c r="A32" s="44" t="s">
        <v>25</v>
      </c>
      <c r="B32" s="45">
        <f>'1.sz.tábla'!B37</f>
        <v>0</v>
      </c>
      <c r="C32" s="45">
        <f>'1.sz.tábla'!C37</f>
        <v>0</v>
      </c>
      <c r="D32" s="45">
        <f>'1.sz.tábla'!E37</f>
        <v>0</v>
      </c>
      <c r="E32" s="45">
        <f>'1.sz.tábla'!F37</f>
        <v>0</v>
      </c>
    </row>
    <row r="33" spans="1:5" x14ac:dyDescent="0.25">
      <c r="A33" s="78" t="s">
        <v>490</v>
      </c>
      <c r="B33" s="45">
        <f>'1.sz.tábla'!B38</f>
        <v>1161000</v>
      </c>
      <c r="C33" s="49"/>
      <c r="D33" s="47"/>
      <c r="E33" s="48"/>
    </row>
    <row r="34" spans="1:5" s="72" customFormat="1" x14ac:dyDescent="0.25">
      <c r="A34" s="63" t="s">
        <v>26</v>
      </c>
      <c r="B34" s="53">
        <f>SUM(B32:B33)</f>
        <v>1161000</v>
      </c>
      <c r="C34" s="53">
        <f>SUM(C32:C33)</f>
        <v>0</v>
      </c>
      <c r="D34" s="53">
        <f>SUM(D32:D33)</f>
        <v>0</v>
      </c>
      <c r="E34" s="53">
        <f>SUM(E32:E33)</f>
        <v>0</v>
      </c>
    </row>
    <row r="35" spans="1:5" x14ac:dyDescent="0.25">
      <c r="A35" s="79" t="s">
        <v>27</v>
      </c>
      <c r="B35" s="65">
        <f>SUM(B31,B34)</f>
        <v>139215196</v>
      </c>
      <c r="C35" s="65">
        <f>SUM(C31,C34)</f>
        <v>94830996</v>
      </c>
      <c r="D35" s="66">
        <f>SUM(D31,D34)</f>
        <v>83950000</v>
      </c>
      <c r="E35" s="67">
        <f>SUM(E31,E34)</f>
        <v>84800000</v>
      </c>
    </row>
    <row r="36" spans="1:5" x14ac:dyDescent="0.25">
      <c r="A36" s="80"/>
      <c r="B36" s="81"/>
      <c r="C36" s="81"/>
      <c r="D36" s="82"/>
      <c r="E36" s="48"/>
    </row>
    <row r="37" spans="1:5" x14ac:dyDescent="0.25">
      <c r="A37" s="83"/>
      <c r="B37" s="84"/>
      <c r="C37" s="85"/>
      <c r="D37" s="86"/>
      <c r="E37" s="48"/>
    </row>
  </sheetData>
  <phoneticPr fontId="21" type="noConversion"/>
  <pageMargins left="0.29166666666666669" right="0.46875" top="1.0104166666666667" bottom="0.75" header="0.3" footer="0.3"/>
  <pageSetup paperSize="9" orientation="portrait" r:id="rId1"/>
  <headerFooter>
    <oddHeader>&amp;LPécsely Község Önkormányzata&amp;CAZ ÖNKORMÁNYZAT 2017-2020.
 ÉVEK TERVEZETT ELŐIRÁNYZATAINAK KERETSZÁMAI
 14. melléklet
a .../2017. (.....) rendelet tervezethez&amp;R&amp;P.oldal forint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97"/>
  <sheetViews>
    <sheetView view="pageLayout" topLeftCell="A3" zoomScaleNormal="100" zoomScaleSheetLayoutView="89" workbookViewId="0">
      <selection activeCell="A3" sqref="A3:E3"/>
    </sheetView>
  </sheetViews>
  <sheetFormatPr defaultColWidth="9.140625" defaultRowHeight="15.75" x14ac:dyDescent="0.25"/>
  <cols>
    <col min="1" max="1" width="33.5703125" style="289" customWidth="1"/>
    <col min="2" max="2" width="15.42578125" style="291" customWidth="1"/>
    <col min="3" max="5" width="15.42578125" style="288" customWidth="1"/>
    <col min="6" max="6" width="15.5703125" style="289" bestFit="1" customWidth="1"/>
    <col min="7" max="7" width="0.28515625" style="289" customWidth="1"/>
    <col min="8" max="16384" width="9.140625" style="289"/>
  </cols>
  <sheetData>
    <row r="1" spans="1:11" ht="16.5" hidden="1" thickBot="1" x14ac:dyDescent="0.3">
      <c r="A1" s="286"/>
      <c r="B1" s="287"/>
    </row>
    <row r="2" spans="1:11" ht="16.5" hidden="1" thickBot="1" x14ac:dyDescent="0.3">
      <c r="A2" s="290"/>
    </row>
    <row r="3" spans="1:11" s="292" customFormat="1" ht="37.5" customHeight="1" thickBot="1" x14ac:dyDescent="0.3">
      <c r="A3" s="824" t="s">
        <v>541</v>
      </c>
      <c r="B3" s="824"/>
      <c r="C3" s="824"/>
      <c r="D3" s="824"/>
      <c r="E3" s="824"/>
    </row>
    <row r="4" spans="1:11" s="297" customFormat="1" ht="53.25" customHeight="1" thickBot="1" x14ac:dyDescent="0.3">
      <c r="A4" s="293" t="s">
        <v>234</v>
      </c>
      <c r="B4" s="431" t="s">
        <v>529</v>
      </c>
      <c r="C4" s="432" t="s">
        <v>530</v>
      </c>
      <c r="D4" s="295" t="s">
        <v>549</v>
      </c>
      <c r="E4" s="296" t="s">
        <v>531</v>
      </c>
    </row>
    <row r="5" spans="1:11" s="297" customFormat="1" ht="31.5" x14ac:dyDescent="0.25">
      <c r="A5" s="430" t="s">
        <v>4</v>
      </c>
      <c r="B5" s="314">
        <f>B6+B14+B15+B16+B17+B18</f>
        <v>30310196</v>
      </c>
      <c r="C5" s="314">
        <f>C6+C14+C15+C16+C17+C18</f>
        <v>31538654</v>
      </c>
      <c r="D5" s="314">
        <f>D6+D14+D15+D16+D17+D18</f>
        <v>34179452</v>
      </c>
      <c r="E5" s="738">
        <f>D5-C5</f>
        <v>2640798</v>
      </c>
    </row>
    <row r="6" spans="1:11" s="302" customFormat="1" ht="31.5" x14ac:dyDescent="0.25">
      <c r="A6" s="300" t="s">
        <v>28</v>
      </c>
      <c r="B6" s="312">
        <f>SUM(B7:B12)</f>
        <v>25156196</v>
      </c>
      <c r="C6" s="312">
        <f>SUM(C7:C12)</f>
        <v>25389176</v>
      </c>
      <c r="D6" s="312">
        <f>SUM(D7:D12)</f>
        <v>27679985</v>
      </c>
      <c r="E6" s="362">
        <f>D6-C6</f>
        <v>2290809</v>
      </c>
      <c r="F6" s="301"/>
    </row>
    <row r="7" spans="1:11" s="304" customFormat="1" ht="31.5" x14ac:dyDescent="0.25">
      <c r="A7" s="303" t="s">
        <v>537</v>
      </c>
      <c r="B7" s="346">
        <f>'2a. tábla'!E5</f>
        <v>16587442</v>
      </c>
      <c r="C7" s="346">
        <f>'2a. tábla'!F5</f>
        <v>16794290</v>
      </c>
      <c r="D7" s="346">
        <f>'2a. tábla'!G5</f>
        <v>17621351</v>
      </c>
      <c r="E7" s="362">
        <f t="shared" ref="E7:E12" si="0">D7-C7</f>
        <v>827061</v>
      </c>
      <c r="F7" s="297"/>
      <c r="G7" s="297"/>
      <c r="H7" s="297"/>
      <c r="I7" s="297"/>
      <c r="J7" s="297"/>
      <c r="K7" s="297"/>
    </row>
    <row r="8" spans="1:11" s="302" customFormat="1" ht="31.5" x14ac:dyDescent="0.25">
      <c r="A8" s="305" t="s">
        <v>29</v>
      </c>
      <c r="B8" s="306">
        <v>0</v>
      </c>
      <c r="C8" s="306">
        <v>0</v>
      </c>
      <c r="D8" s="362">
        <v>0</v>
      </c>
      <c r="E8" s="362">
        <f t="shared" si="0"/>
        <v>0</v>
      </c>
    </row>
    <row r="9" spans="1:11" s="302" customFormat="1" ht="31.5" x14ac:dyDescent="0.25">
      <c r="A9" s="307" t="s">
        <v>30</v>
      </c>
      <c r="B9" s="313">
        <f>'2a. tábla'!E35</f>
        <v>7368754</v>
      </c>
      <c r="C9" s="313">
        <f>'2a. tábla'!F35</f>
        <v>7368754</v>
      </c>
      <c r="D9" s="313">
        <f>'2a. tábla'!G35</f>
        <v>7368754</v>
      </c>
      <c r="E9" s="362">
        <f t="shared" si="0"/>
        <v>0</v>
      </c>
    </row>
    <row r="10" spans="1:11" s="302" customFormat="1" ht="31.5" x14ac:dyDescent="0.25">
      <c r="A10" s="307" t="s">
        <v>31</v>
      </c>
      <c r="B10" s="313">
        <f>'2a. tábla'!E62</f>
        <v>1200000</v>
      </c>
      <c r="C10" s="313">
        <f>'2a. tábla'!F62</f>
        <v>1200000</v>
      </c>
      <c r="D10" s="313">
        <f>'2a. tábla'!G62</f>
        <v>1200000</v>
      </c>
      <c r="E10" s="362">
        <f t="shared" si="0"/>
        <v>0</v>
      </c>
    </row>
    <row r="11" spans="1:11" s="297" customFormat="1" ht="50.25" customHeight="1" x14ac:dyDescent="0.25">
      <c r="A11" s="307" t="s">
        <v>0</v>
      </c>
      <c r="B11" s="306">
        <v>0</v>
      </c>
      <c r="C11" s="306">
        <v>0</v>
      </c>
      <c r="D11" s="740">
        <f>129125+43042+43042+537800+268900+268900+172939</f>
        <v>1463748</v>
      </c>
      <c r="E11" s="362">
        <f t="shared" si="0"/>
        <v>1463748</v>
      </c>
    </row>
    <row r="12" spans="1:11" s="297" customFormat="1" ht="31.5" x14ac:dyDescent="0.25">
      <c r="A12" s="307" t="s">
        <v>1</v>
      </c>
      <c r="B12" s="309">
        <v>0</v>
      </c>
      <c r="C12" s="346">
        <f>'2a. tábla'!G67</f>
        <v>26132</v>
      </c>
      <c r="D12" s="739">
        <v>26132</v>
      </c>
      <c r="E12" s="362">
        <f t="shared" si="0"/>
        <v>0</v>
      </c>
    </row>
    <row r="13" spans="1:11" s="297" customFormat="1" x14ac:dyDescent="0.25">
      <c r="A13" s="307" t="s">
        <v>437</v>
      </c>
      <c r="B13" s="309"/>
      <c r="C13" s="308"/>
      <c r="D13" s="710"/>
      <c r="E13" s="299"/>
    </row>
    <row r="14" spans="1:11" s="297" customFormat="1" x14ac:dyDescent="0.25">
      <c r="A14" s="307" t="s">
        <v>247</v>
      </c>
      <c r="B14" s="309"/>
      <c r="C14" s="308"/>
      <c r="D14" s="710"/>
      <c r="E14" s="299"/>
    </row>
    <row r="15" spans="1:11" s="311" customFormat="1" ht="47.25" x14ac:dyDescent="0.25">
      <c r="A15" s="307" t="s">
        <v>32</v>
      </c>
      <c r="B15" s="309"/>
      <c r="C15" s="310"/>
      <c r="D15" s="711"/>
      <c r="E15" s="299"/>
    </row>
    <row r="16" spans="1:11" s="311" customFormat="1" ht="47.25" x14ac:dyDescent="0.25">
      <c r="A16" s="307" t="s">
        <v>33</v>
      </c>
      <c r="B16" s="309"/>
      <c r="C16" s="310"/>
      <c r="D16" s="711"/>
      <c r="E16" s="299"/>
    </row>
    <row r="17" spans="1:5" s="311" customFormat="1" ht="47.25" x14ac:dyDescent="0.25">
      <c r="A17" s="307" t="s">
        <v>34</v>
      </c>
      <c r="B17" s="312"/>
      <c r="C17" s="310"/>
      <c r="D17" s="711"/>
      <c r="E17" s="299"/>
    </row>
    <row r="18" spans="1:5" s="297" customFormat="1" ht="36.75" customHeight="1" x14ac:dyDescent="0.25">
      <c r="A18" s="307" t="s">
        <v>35</v>
      </c>
      <c r="B18" s="313">
        <v>5154000</v>
      </c>
      <c r="C18" s="313">
        <v>6149478</v>
      </c>
      <c r="D18" s="313">
        <f>C18+D20</f>
        <v>6499467</v>
      </c>
      <c r="E18" s="388">
        <f>D18-C18</f>
        <v>349989</v>
      </c>
    </row>
    <row r="19" spans="1:5" s="363" customFormat="1" ht="31.5" x14ac:dyDescent="0.25">
      <c r="A19" s="748" t="s">
        <v>538</v>
      </c>
      <c r="B19" s="749">
        <v>4200000</v>
      </c>
      <c r="C19" s="749">
        <f>B19+814482+180996</f>
        <v>5195478</v>
      </c>
      <c r="D19" s="749">
        <v>5195478</v>
      </c>
      <c r="E19" s="750">
        <f>D19-C19</f>
        <v>0</v>
      </c>
    </row>
    <row r="20" spans="1:5" s="363" customFormat="1" x14ac:dyDescent="0.25">
      <c r="A20" s="751" t="s">
        <v>577</v>
      </c>
      <c r="B20" s="739">
        <v>0</v>
      </c>
      <c r="C20" s="739">
        <v>0</v>
      </c>
      <c r="D20" s="739">
        <v>349989</v>
      </c>
      <c r="E20" s="739">
        <f>D20-C20</f>
        <v>349989</v>
      </c>
    </row>
    <row r="21" spans="1:5" s="297" customFormat="1" ht="39" customHeight="1" x14ac:dyDescent="0.25">
      <c r="A21" s="430" t="s">
        <v>5</v>
      </c>
      <c r="B21" s="314">
        <f>B22+B27+B28+B29+B30</f>
        <v>0</v>
      </c>
      <c r="C21" s="314">
        <f>C22+C27+C28+C29+C30</f>
        <v>0</v>
      </c>
      <c r="D21" s="314"/>
      <c r="E21" s="385">
        <f>C21-B21</f>
        <v>0</v>
      </c>
    </row>
    <row r="22" spans="1:5" s="297" customFormat="1" ht="31.5" x14ac:dyDescent="0.25">
      <c r="A22" s="307" t="s">
        <v>36</v>
      </c>
      <c r="B22" s="315"/>
      <c r="C22" s="316"/>
      <c r="D22" s="712"/>
      <c r="E22" s="317"/>
    </row>
    <row r="23" spans="1:5" s="297" customFormat="1" ht="31.5" x14ac:dyDescent="0.25">
      <c r="A23" s="307" t="s">
        <v>37</v>
      </c>
      <c r="B23" s="315"/>
      <c r="C23" s="316"/>
      <c r="D23" s="712"/>
      <c r="E23" s="317"/>
    </row>
    <row r="24" spans="1:5" s="297" customFormat="1" ht="31.5" x14ac:dyDescent="0.25">
      <c r="A24" s="307" t="s">
        <v>114</v>
      </c>
      <c r="B24" s="315"/>
      <c r="C24" s="316"/>
      <c r="D24" s="712"/>
      <c r="E24" s="317"/>
    </row>
    <row r="25" spans="1:5" s="297" customFormat="1" ht="31.5" x14ac:dyDescent="0.25">
      <c r="A25" s="307" t="s">
        <v>520</v>
      </c>
      <c r="B25" s="315"/>
      <c r="C25" s="316"/>
      <c r="D25" s="712"/>
      <c r="E25" s="317"/>
    </row>
    <row r="26" spans="1:5" s="297" customFormat="1" x14ac:dyDescent="0.25">
      <c r="A26" s="307" t="s">
        <v>519</v>
      </c>
      <c r="B26" s="315"/>
      <c r="C26" s="316"/>
      <c r="D26" s="712"/>
      <c r="E26" s="317"/>
    </row>
    <row r="27" spans="1:5" s="297" customFormat="1" ht="47.25" x14ac:dyDescent="0.25">
      <c r="A27" s="307" t="s">
        <v>38</v>
      </c>
      <c r="B27" s="315"/>
      <c r="C27" s="316"/>
      <c r="D27" s="712"/>
      <c r="E27" s="317"/>
    </row>
    <row r="28" spans="1:5" s="297" customFormat="1" ht="48" customHeight="1" x14ac:dyDescent="0.25">
      <c r="A28" s="307" t="s">
        <v>39</v>
      </c>
      <c r="B28" s="315"/>
      <c r="C28" s="316"/>
      <c r="D28" s="712"/>
      <c r="E28" s="317"/>
    </row>
    <row r="29" spans="1:5" s="297" customFormat="1" ht="51.75" customHeight="1" x14ac:dyDescent="0.25">
      <c r="A29" s="307" t="s">
        <v>40</v>
      </c>
      <c r="B29" s="315"/>
      <c r="C29" s="316"/>
      <c r="D29" s="712"/>
      <c r="E29" s="317"/>
    </row>
    <row r="30" spans="1:5" s="297" customFormat="1" ht="48" thickBot="1" x14ac:dyDescent="0.3">
      <c r="A30" s="318" t="s">
        <v>248</v>
      </c>
      <c r="B30" s="319"/>
      <c r="C30" s="320"/>
      <c r="D30" s="713"/>
      <c r="E30" s="321"/>
    </row>
    <row r="31" spans="1:5" s="297" customFormat="1" ht="27" customHeight="1" thickBot="1" x14ac:dyDescent="0.3">
      <c r="B31" s="348"/>
      <c r="C31" s="349"/>
      <c r="D31" s="349"/>
      <c r="E31" s="349"/>
    </row>
    <row r="32" spans="1:5" s="297" customFormat="1" ht="54" customHeight="1" thickBot="1" x14ac:dyDescent="0.3">
      <c r="A32" s="350" t="s">
        <v>234</v>
      </c>
      <c r="B32" s="294" t="s">
        <v>493</v>
      </c>
      <c r="C32" s="294" t="s">
        <v>530</v>
      </c>
      <c r="D32" s="294" t="s">
        <v>549</v>
      </c>
      <c r="E32" s="351" t="s">
        <v>531</v>
      </c>
    </row>
    <row r="33" spans="1:5" s="297" customFormat="1" x14ac:dyDescent="0.25">
      <c r="A33" s="323" t="s">
        <v>6</v>
      </c>
      <c r="B33" s="324">
        <f>B34+B38+B46</f>
        <v>20450000</v>
      </c>
      <c r="C33" s="324">
        <f>C34+C38+C46</f>
        <v>20450000</v>
      </c>
      <c r="D33" s="324">
        <f>D34+D38+D46</f>
        <v>20450000</v>
      </c>
      <c r="E33" s="384">
        <f>D33-C33</f>
        <v>0</v>
      </c>
    </row>
    <row r="34" spans="1:5" s="297" customFormat="1" x14ac:dyDescent="0.25">
      <c r="A34" s="325" t="s">
        <v>41</v>
      </c>
      <c r="B34" s="315">
        <f>SUM(B35:B37)</f>
        <v>10000000</v>
      </c>
      <c r="C34" s="315">
        <f>SUM(C35:C37)</f>
        <v>10000000</v>
      </c>
      <c r="D34" s="315">
        <f>SUM(D35:D37)</f>
        <v>10000000</v>
      </c>
      <c r="E34" s="752">
        <f>D34-C34</f>
        <v>0</v>
      </c>
    </row>
    <row r="35" spans="1:5" s="297" customFormat="1" x14ac:dyDescent="0.25">
      <c r="A35" s="326" t="s">
        <v>42</v>
      </c>
      <c r="B35" s="315">
        <v>0</v>
      </c>
      <c r="C35" s="315">
        <v>0</v>
      </c>
      <c r="D35" s="315">
        <v>0</v>
      </c>
      <c r="E35" s="752">
        <f t="shared" ref="E35:E46" si="1">D35-C35</f>
        <v>0</v>
      </c>
    </row>
    <row r="36" spans="1:5" s="297" customFormat="1" x14ac:dyDescent="0.25">
      <c r="A36" s="326" t="s">
        <v>43</v>
      </c>
      <c r="B36" s="327">
        <v>200000</v>
      </c>
      <c r="C36" s="328">
        <v>200000</v>
      </c>
      <c r="D36" s="328">
        <v>200000</v>
      </c>
      <c r="E36" s="752">
        <f t="shared" si="1"/>
        <v>0</v>
      </c>
    </row>
    <row r="37" spans="1:5" s="297" customFormat="1" ht="31.5" x14ac:dyDescent="0.25">
      <c r="A37" s="329" t="s">
        <v>386</v>
      </c>
      <c r="B37" s="330">
        <v>9800000</v>
      </c>
      <c r="C37" s="328">
        <v>9800000</v>
      </c>
      <c r="D37" s="328">
        <v>9800000</v>
      </c>
      <c r="E37" s="752">
        <f t="shared" si="1"/>
        <v>0</v>
      </c>
    </row>
    <row r="38" spans="1:5" s="297" customFormat="1" ht="27" customHeight="1" x14ac:dyDescent="0.25">
      <c r="A38" s="325" t="s">
        <v>44</v>
      </c>
      <c r="B38" s="328">
        <f>B39+B41+B42</f>
        <v>10200000</v>
      </c>
      <c r="C38" s="328">
        <f>C39+C41+C42</f>
        <v>10200000</v>
      </c>
      <c r="D38" s="328">
        <f>D39+D41+D42</f>
        <v>10200000</v>
      </c>
      <c r="E38" s="752">
        <f t="shared" si="1"/>
        <v>0</v>
      </c>
    </row>
    <row r="39" spans="1:5" s="297" customFormat="1" ht="25.5" customHeight="1" x14ac:dyDescent="0.25">
      <c r="A39" s="325" t="s">
        <v>45</v>
      </c>
      <c r="B39" s="315">
        <f>SUM(B40)</f>
        <v>8600000</v>
      </c>
      <c r="C39" s="328">
        <v>8600000</v>
      </c>
      <c r="D39" s="328">
        <v>8600000</v>
      </c>
      <c r="E39" s="752">
        <f t="shared" si="1"/>
        <v>0</v>
      </c>
    </row>
    <row r="40" spans="1:5" s="297" customFormat="1" x14ac:dyDescent="0.25">
      <c r="A40" s="325" t="s">
        <v>46</v>
      </c>
      <c r="B40" s="315">
        <v>8600000</v>
      </c>
      <c r="C40" s="328">
        <v>8600000</v>
      </c>
      <c r="D40" s="328">
        <v>8600000</v>
      </c>
      <c r="E40" s="752">
        <f t="shared" si="1"/>
        <v>0</v>
      </c>
    </row>
    <row r="41" spans="1:5" s="297" customFormat="1" x14ac:dyDescent="0.25">
      <c r="A41" s="325" t="s">
        <v>47</v>
      </c>
      <c r="B41" s="315">
        <v>1500000</v>
      </c>
      <c r="C41" s="328">
        <v>1500000</v>
      </c>
      <c r="D41" s="328">
        <v>1500000</v>
      </c>
      <c r="E41" s="752">
        <f t="shared" si="1"/>
        <v>0</v>
      </c>
    </row>
    <row r="42" spans="1:5" s="297" customFormat="1" ht="31.5" x14ac:dyDescent="0.25">
      <c r="A42" s="325" t="s">
        <v>48</v>
      </c>
      <c r="B42" s="328">
        <f>SUM(B43:B45)</f>
        <v>100000</v>
      </c>
      <c r="C42" s="328">
        <v>100000</v>
      </c>
      <c r="D42" s="328">
        <v>100000</v>
      </c>
      <c r="E42" s="752">
        <f t="shared" si="1"/>
        <v>0</v>
      </c>
    </row>
    <row r="43" spans="1:5" s="297" customFormat="1" x14ac:dyDescent="0.25">
      <c r="A43" s="325" t="s">
        <v>49</v>
      </c>
      <c r="B43" s="315">
        <v>100000</v>
      </c>
      <c r="C43" s="328">
        <v>100000</v>
      </c>
      <c r="D43" s="328">
        <v>100000</v>
      </c>
      <c r="E43" s="752">
        <f t="shared" si="1"/>
        <v>0</v>
      </c>
    </row>
    <row r="44" spans="1:5" s="297" customFormat="1" x14ac:dyDescent="0.25">
      <c r="A44" s="325" t="s">
        <v>50</v>
      </c>
      <c r="B44" s="315"/>
      <c r="C44" s="328"/>
      <c r="D44" s="328"/>
      <c r="E44" s="752">
        <f t="shared" si="1"/>
        <v>0</v>
      </c>
    </row>
    <row r="45" spans="1:5" s="297" customFormat="1" x14ac:dyDescent="0.25">
      <c r="A45" s="325" t="s">
        <v>235</v>
      </c>
      <c r="B45" s="315"/>
      <c r="C45" s="328"/>
      <c r="D45" s="328"/>
      <c r="E45" s="752">
        <f t="shared" si="1"/>
        <v>0</v>
      </c>
    </row>
    <row r="46" spans="1:5" s="297" customFormat="1" ht="31.5" x14ac:dyDescent="0.25">
      <c r="A46" s="325" t="s">
        <v>51</v>
      </c>
      <c r="B46" s="315">
        <v>250000</v>
      </c>
      <c r="C46" s="328">
        <v>250000</v>
      </c>
      <c r="D46" s="328">
        <v>250000</v>
      </c>
      <c r="E46" s="752">
        <f t="shared" si="1"/>
        <v>0</v>
      </c>
    </row>
    <row r="47" spans="1:5" s="331" customFormat="1" ht="27" customHeight="1" x14ac:dyDescent="0.2">
      <c r="A47" s="364" t="s">
        <v>7</v>
      </c>
      <c r="B47" s="314">
        <f>B48+B49+B51+B52+B55+B56+B57+B58+B59</f>
        <v>7300000</v>
      </c>
      <c r="C47" s="314">
        <f>C48+C49+C51+C52+C55+C56+C57+C58+C59</f>
        <v>7300000</v>
      </c>
      <c r="D47" s="314">
        <f>D48+D49+D51+D52+D55+D56+D57+D58+D59</f>
        <v>7300000</v>
      </c>
      <c r="E47" s="385">
        <v>0</v>
      </c>
    </row>
    <row r="48" spans="1:5" s="333" customFormat="1" ht="31.5" x14ac:dyDescent="0.25">
      <c r="A48" s="326" t="s">
        <v>52</v>
      </c>
      <c r="B48" s="315"/>
      <c r="C48" s="332"/>
      <c r="D48" s="714"/>
      <c r="E48" s="386"/>
    </row>
    <row r="49" spans="1:5" s="335" customFormat="1" ht="33.75" customHeight="1" x14ac:dyDescent="0.25">
      <c r="A49" s="326" t="s">
        <v>53</v>
      </c>
      <c r="B49" s="309">
        <v>1000000</v>
      </c>
      <c r="C49" s="309">
        <v>1000000</v>
      </c>
      <c r="D49" s="309">
        <v>1000000</v>
      </c>
      <c r="E49" s="347"/>
    </row>
    <row r="50" spans="1:5" s="335" customFormat="1" ht="22.5" customHeight="1" x14ac:dyDescent="0.25">
      <c r="A50" s="326" t="s">
        <v>115</v>
      </c>
      <c r="B50" s="309"/>
      <c r="C50" s="309"/>
      <c r="D50" s="309"/>
      <c r="E50" s="347"/>
    </row>
    <row r="51" spans="1:5" s="335" customFormat="1" ht="31.5" x14ac:dyDescent="0.25">
      <c r="A51" s="325" t="s">
        <v>54</v>
      </c>
      <c r="B51" s="309">
        <v>2500000</v>
      </c>
      <c r="C51" s="309">
        <v>2500000</v>
      </c>
      <c r="D51" s="309">
        <v>2500000</v>
      </c>
      <c r="E51" s="347"/>
    </row>
    <row r="52" spans="1:5" s="335" customFormat="1" x14ac:dyDescent="0.25">
      <c r="A52" s="336" t="s">
        <v>55</v>
      </c>
      <c r="B52" s="309">
        <v>2000000</v>
      </c>
      <c r="C52" s="309">
        <v>2000000</v>
      </c>
      <c r="D52" s="309">
        <v>2000000</v>
      </c>
      <c r="E52" s="347"/>
    </row>
    <row r="53" spans="1:5" s="335" customFormat="1" ht="24.75" customHeight="1" x14ac:dyDescent="0.25">
      <c r="A53" s="337" t="s">
        <v>56</v>
      </c>
      <c r="B53" s="309"/>
      <c r="C53" s="309"/>
      <c r="D53" s="309"/>
      <c r="E53" s="347"/>
    </row>
    <row r="54" spans="1:5" s="335" customFormat="1" x14ac:dyDescent="0.25">
      <c r="A54" s="337" t="s">
        <v>57</v>
      </c>
      <c r="B54" s="309"/>
      <c r="C54" s="309"/>
      <c r="D54" s="309"/>
      <c r="E54" s="347"/>
    </row>
    <row r="55" spans="1:5" s="335" customFormat="1" ht="24.75" customHeight="1" x14ac:dyDescent="0.25">
      <c r="A55" s="337" t="s">
        <v>58</v>
      </c>
      <c r="B55" s="309">
        <v>650000</v>
      </c>
      <c r="C55" s="309">
        <v>650000</v>
      </c>
      <c r="D55" s="309">
        <v>650000</v>
      </c>
      <c r="E55" s="347"/>
    </row>
    <row r="56" spans="1:5" s="335" customFormat="1" ht="24" customHeight="1" x14ac:dyDescent="0.25">
      <c r="A56" s="326" t="s">
        <v>59</v>
      </c>
      <c r="B56" s="309">
        <v>1000000</v>
      </c>
      <c r="C56" s="309">
        <v>1000000</v>
      </c>
      <c r="D56" s="309">
        <v>1000000</v>
      </c>
      <c r="E56" s="347"/>
    </row>
    <row r="57" spans="1:5" s="335" customFormat="1" ht="24" customHeight="1" x14ac:dyDescent="0.25">
      <c r="A57" s="326" t="s">
        <v>60</v>
      </c>
      <c r="B57" s="309"/>
      <c r="C57" s="309"/>
      <c r="D57" s="309"/>
      <c r="E57" s="347"/>
    </row>
    <row r="58" spans="1:5" s="335" customFormat="1" x14ac:dyDescent="0.25">
      <c r="A58" s="326" t="s">
        <v>61</v>
      </c>
      <c r="B58" s="309">
        <v>150000</v>
      </c>
      <c r="C58" s="309">
        <v>150000</v>
      </c>
      <c r="D58" s="309">
        <v>150000</v>
      </c>
      <c r="E58" s="347"/>
    </row>
    <row r="59" spans="1:5" s="335" customFormat="1" ht="35.25" customHeight="1" x14ac:dyDescent="0.25">
      <c r="A59" s="337" t="s">
        <v>236</v>
      </c>
      <c r="B59" s="315"/>
      <c r="C59" s="334"/>
      <c r="D59" s="715"/>
      <c r="E59" s="368"/>
    </row>
    <row r="60" spans="1:5" s="331" customFormat="1" ht="24.75" customHeight="1" x14ac:dyDescent="0.2">
      <c r="A60" s="365" t="s">
        <v>8</v>
      </c>
      <c r="B60" s="338">
        <f>SUM(B61:B65)</f>
        <v>0</v>
      </c>
      <c r="C60" s="338">
        <f>SUM(C61:C65)</f>
        <v>0</v>
      </c>
      <c r="D60" s="338">
        <f>SUM(D61:D65)</f>
        <v>0</v>
      </c>
      <c r="E60" s="368">
        <v>0</v>
      </c>
    </row>
    <row r="61" spans="1:5" s="331" customFormat="1" x14ac:dyDescent="0.25">
      <c r="A61" s="325" t="s">
        <v>62</v>
      </c>
      <c r="B61" s="315"/>
      <c r="C61" s="308"/>
      <c r="D61" s="710"/>
      <c r="E61" s="299"/>
    </row>
    <row r="62" spans="1:5" s="335" customFormat="1" ht="14.25" customHeight="1" x14ac:dyDescent="0.25">
      <c r="A62" s="325" t="s">
        <v>63</v>
      </c>
      <c r="B62" s="315"/>
      <c r="C62" s="334"/>
      <c r="D62" s="709"/>
      <c r="E62" s="347"/>
    </row>
    <row r="63" spans="1:5" s="335" customFormat="1" ht="31.5" x14ac:dyDescent="0.25">
      <c r="A63" s="339" t="s">
        <v>64</v>
      </c>
      <c r="B63" s="315"/>
      <c r="C63" s="334"/>
      <c r="D63" s="709"/>
      <c r="E63" s="347"/>
    </row>
    <row r="64" spans="1:5" s="335" customFormat="1" x14ac:dyDescent="0.25">
      <c r="A64" s="325" t="s">
        <v>65</v>
      </c>
      <c r="B64" s="315"/>
      <c r="C64" s="334"/>
      <c r="D64" s="709"/>
      <c r="E64" s="347"/>
    </row>
    <row r="65" spans="1:6" s="335" customFormat="1" ht="31.5" x14ac:dyDescent="0.25">
      <c r="A65" s="325" t="s">
        <v>66</v>
      </c>
      <c r="B65" s="315"/>
      <c r="C65" s="334"/>
      <c r="D65" s="709"/>
      <c r="E65" s="347"/>
    </row>
    <row r="66" spans="1:6" s="331" customFormat="1" ht="40.5" customHeight="1" x14ac:dyDescent="0.2">
      <c r="A66" s="364" t="s">
        <v>9</v>
      </c>
      <c r="B66" s="314">
        <f>SUM(B67:B69)</f>
        <v>0</v>
      </c>
      <c r="C66" s="314">
        <v>0</v>
      </c>
      <c r="D66" s="314">
        <v>0</v>
      </c>
      <c r="E66" s="385">
        <v>0</v>
      </c>
    </row>
    <row r="67" spans="1:6" s="331" customFormat="1" ht="47.25" x14ac:dyDescent="0.25">
      <c r="A67" s="325" t="s">
        <v>67</v>
      </c>
      <c r="B67" s="315"/>
      <c r="C67" s="308"/>
      <c r="D67" s="710"/>
      <c r="E67" s="299"/>
    </row>
    <row r="68" spans="1:6" s="335" customFormat="1" ht="63" x14ac:dyDescent="0.25">
      <c r="A68" s="325" t="s">
        <v>68</v>
      </c>
      <c r="B68" s="315"/>
      <c r="C68" s="334"/>
      <c r="D68" s="709"/>
      <c r="E68" s="347"/>
    </row>
    <row r="69" spans="1:6" s="335" customFormat="1" ht="32.25" thickBot="1" x14ac:dyDescent="0.3">
      <c r="A69" s="340" t="s">
        <v>69</v>
      </c>
      <c r="B69" s="319"/>
      <c r="C69" s="341"/>
      <c r="D69" s="716"/>
      <c r="E69" s="387"/>
    </row>
    <row r="70" spans="1:6" s="335" customFormat="1" ht="28.5" customHeight="1" thickBot="1" x14ac:dyDescent="0.25">
      <c r="A70" s="350"/>
      <c r="B70" s="355"/>
      <c r="C70" s="356"/>
      <c r="D70" s="717"/>
      <c r="E70" s="357"/>
    </row>
    <row r="71" spans="1:6" s="297" customFormat="1" ht="54.75" customHeight="1" thickBot="1" x14ac:dyDescent="0.3">
      <c r="A71" s="322" t="s">
        <v>234</v>
      </c>
      <c r="B71" s="294" t="s">
        <v>493</v>
      </c>
      <c r="C71" s="295" t="s">
        <v>530</v>
      </c>
      <c r="D71" s="295" t="s">
        <v>549</v>
      </c>
      <c r="E71" s="296" t="s">
        <v>531</v>
      </c>
    </row>
    <row r="72" spans="1:6" s="331" customFormat="1" ht="31.5" x14ac:dyDescent="0.2">
      <c r="A72" s="366" t="s">
        <v>10</v>
      </c>
      <c r="B72" s="298">
        <f>SUM(B73:B75)</f>
        <v>0</v>
      </c>
      <c r="C72" s="298">
        <f>SUM(C73:C75)</f>
        <v>0</v>
      </c>
      <c r="D72" s="298">
        <f>SUM(D73:D75)</f>
        <v>0</v>
      </c>
      <c r="E72" s="382">
        <v>0</v>
      </c>
    </row>
    <row r="73" spans="1:6" s="335" customFormat="1" ht="72" customHeight="1" x14ac:dyDescent="0.2">
      <c r="A73" s="367" t="s">
        <v>70</v>
      </c>
      <c r="B73" s="309"/>
      <c r="C73" s="334"/>
      <c r="D73" s="709"/>
      <c r="E73" s="347"/>
    </row>
    <row r="74" spans="1:6" s="335" customFormat="1" ht="68.25" customHeight="1" x14ac:dyDescent="0.2">
      <c r="A74" s="367" t="s">
        <v>71</v>
      </c>
      <c r="B74" s="309"/>
      <c r="C74" s="334"/>
      <c r="D74" s="709"/>
      <c r="E74" s="347"/>
    </row>
    <row r="75" spans="1:6" s="335" customFormat="1" ht="31.5" customHeight="1" x14ac:dyDescent="0.2">
      <c r="A75" s="367" t="s">
        <v>72</v>
      </c>
      <c r="B75" s="309"/>
      <c r="C75" s="334"/>
      <c r="D75" s="709"/>
      <c r="E75" s="347"/>
    </row>
    <row r="76" spans="1:6" s="335" customFormat="1" ht="33" customHeight="1" x14ac:dyDescent="0.2">
      <c r="A76" s="367" t="s">
        <v>521</v>
      </c>
      <c r="B76" s="309"/>
      <c r="C76" s="334"/>
      <c r="D76" s="709"/>
      <c r="E76" s="347"/>
    </row>
    <row r="77" spans="1:6" s="331" customFormat="1" ht="30.75" customHeight="1" x14ac:dyDescent="0.2">
      <c r="A77" s="365" t="s">
        <v>11</v>
      </c>
      <c r="B77" s="338">
        <f>B72+B66+B60+B47+B33+B21+B5</f>
        <v>58060196</v>
      </c>
      <c r="C77" s="338">
        <f>C72+C66+C60+C47+C33+C21+C5</f>
        <v>59288654</v>
      </c>
      <c r="D77" s="338">
        <f>D72+D66+D60+D47+D33+D21+D5</f>
        <v>61929452</v>
      </c>
      <c r="E77" s="368">
        <f>E72+E66+E60+E47+E33+E21+E5</f>
        <v>2640798</v>
      </c>
      <c r="F77" s="342"/>
    </row>
    <row r="78" spans="1:6" s="331" customFormat="1" ht="33" customHeight="1" x14ac:dyDescent="0.2">
      <c r="A78" s="369" t="s">
        <v>12</v>
      </c>
      <c r="B78" s="338"/>
      <c r="C78" s="308"/>
      <c r="D78" s="710"/>
      <c r="E78" s="299"/>
      <c r="F78" s="342"/>
    </row>
    <row r="79" spans="1:6" s="331" customFormat="1" ht="46.5" customHeight="1" x14ac:dyDescent="0.2">
      <c r="A79" s="369" t="s">
        <v>73</v>
      </c>
      <c r="B79" s="343">
        <f>SUM(B80:B81)</f>
        <v>51000000</v>
      </c>
      <c r="C79" s="338">
        <f>B79+1934973</f>
        <v>52934973</v>
      </c>
      <c r="D79" s="338">
        <f>C79</f>
        <v>52934973</v>
      </c>
      <c r="E79" s="368">
        <f>D79-C79</f>
        <v>0</v>
      </c>
    </row>
    <row r="80" spans="1:6" s="335" customFormat="1" ht="60.75" customHeight="1" x14ac:dyDescent="0.2">
      <c r="A80" s="358" t="s">
        <v>536</v>
      </c>
      <c r="B80" s="362">
        <v>51000000</v>
      </c>
      <c r="C80" s="753">
        <f>B80+1934973</f>
        <v>52934973</v>
      </c>
      <c r="D80" s="361">
        <f>C80</f>
        <v>52934973</v>
      </c>
      <c r="E80" s="360">
        <f>D80-C80</f>
        <v>0</v>
      </c>
    </row>
    <row r="81" spans="1:6" s="335" customFormat="1" ht="47.25" x14ac:dyDescent="0.2">
      <c r="A81" s="358" t="s">
        <v>74</v>
      </c>
      <c r="B81" s="309"/>
      <c r="C81" s="334"/>
      <c r="D81" s="709"/>
      <c r="E81" s="347"/>
    </row>
    <row r="82" spans="1:6" s="331" customFormat="1" ht="47.25" x14ac:dyDescent="0.2">
      <c r="A82" s="370" t="s">
        <v>75</v>
      </c>
      <c r="B82" s="343">
        <f>B83+B87+B92+B93</f>
        <v>30155000</v>
      </c>
      <c r="C82" s="343">
        <f>C83+C87+C92+C93</f>
        <v>628058</v>
      </c>
      <c r="D82" s="343">
        <f>D83+D87+D92+D93</f>
        <v>628058</v>
      </c>
      <c r="E82" s="359">
        <f>D82-C82</f>
        <v>0</v>
      </c>
      <c r="F82" s="342"/>
    </row>
    <row r="83" spans="1:6" s="331" customFormat="1" ht="31.5" x14ac:dyDescent="0.2">
      <c r="A83" s="365" t="s">
        <v>441</v>
      </c>
      <c r="B83" s="371"/>
      <c r="C83" s="372"/>
      <c r="D83" s="718"/>
      <c r="E83" s="299"/>
    </row>
    <row r="84" spans="1:6" s="335" customFormat="1" ht="31.5" x14ac:dyDescent="0.2">
      <c r="A84" s="367" t="s">
        <v>442</v>
      </c>
      <c r="B84" s="309"/>
      <c r="C84" s="372"/>
      <c r="D84" s="718"/>
      <c r="E84" s="347"/>
    </row>
    <row r="85" spans="1:6" s="335" customFormat="1" ht="47.25" x14ac:dyDescent="0.2">
      <c r="A85" s="367" t="s">
        <v>443</v>
      </c>
      <c r="B85" s="309"/>
      <c r="C85" s="372"/>
      <c r="D85" s="718"/>
      <c r="E85" s="347"/>
    </row>
    <row r="86" spans="1:6" s="335" customFormat="1" ht="31.5" x14ac:dyDescent="0.2">
      <c r="A86" s="367" t="s">
        <v>444</v>
      </c>
      <c r="B86" s="309"/>
      <c r="C86" s="372"/>
      <c r="D86" s="718"/>
      <c r="E86" s="347"/>
      <c r="F86" s="344"/>
    </row>
    <row r="87" spans="1:6" s="331" customFormat="1" ht="31.5" x14ac:dyDescent="0.2">
      <c r="A87" s="365" t="s">
        <v>445</v>
      </c>
      <c r="B87" s="371"/>
      <c r="C87" s="308"/>
      <c r="D87" s="710"/>
      <c r="E87" s="299"/>
    </row>
    <row r="88" spans="1:6" s="335" customFormat="1" ht="31.5" x14ac:dyDescent="0.2">
      <c r="A88" s="373" t="s">
        <v>446</v>
      </c>
      <c r="B88" s="309"/>
      <c r="C88" s="334"/>
      <c r="D88" s="709"/>
      <c r="E88" s="347"/>
    </row>
    <row r="89" spans="1:6" s="335" customFormat="1" ht="31.5" x14ac:dyDescent="0.2">
      <c r="A89" s="374" t="s">
        <v>447</v>
      </c>
      <c r="B89" s="309"/>
      <c r="C89" s="334"/>
      <c r="D89" s="709"/>
      <c r="E89" s="347"/>
    </row>
    <row r="90" spans="1:6" s="331" customFormat="1" ht="31.5" x14ac:dyDescent="0.2">
      <c r="A90" s="375" t="s">
        <v>448</v>
      </c>
      <c r="B90" s="309"/>
      <c r="C90" s="308"/>
      <c r="D90" s="710"/>
      <c r="E90" s="299"/>
    </row>
    <row r="91" spans="1:6" s="331" customFormat="1" ht="31.5" x14ac:dyDescent="0.2">
      <c r="A91" s="375" t="s">
        <v>449</v>
      </c>
      <c r="B91" s="309"/>
      <c r="C91" s="308"/>
      <c r="D91" s="710"/>
      <c r="E91" s="299"/>
    </row>
    <row r="92" spans="1:6" s="331" customFormat="1" x14ac:dyDescent="0.2">
      <c r="A92" s="376" t="s">
        <v>450</v>
      </c>
      <c r="B92" s="343">
        <v>30000000</v>
      </c>
      <c r="C92" s="343">
        <f>B92-30000000</f>
        <v>0</v>
      </c>
      <c r="D92" s="343">
        <v>0</v>
      </c>
      <c r="E92" s="383">
        <f>D92-C92</f>
        <v>0</v>
      </c>
      <c r="F92" s="345"/>
    </row>
    <row r="93" spans="1:6" s="331" customFormat="1" ht="31.5" x14ac:dyDescent="0.2">
      <c r="A93" s="377" t="s">
        <v>451</v>
      </c>
      <c r="B93" s="343">
        <v>155000</v>
      </c>
      <c r="C93" s="343">
        <f>B93+473058</f>
        <v>628058</v>
      </c>
      <c r="D93" s="343">
        <v>628058</v>
      </c>
      <c r="E93" s="383">
        <f>D93-C93</f>
        <v>0</v>
      </c>
    </row>
    <row r="94" spans="1:6" s="331" customFormat="1" ht="32.25" thickBot="1" x14ac:dyDescent="0.25">
      <c r="A94" s="378" t="s">
        <v>76</v>
      </c>
      <c r="B94" s="343">
        <f>B82+B79</f>
        <v>81155000</v>
      </c>
      <c r="C94" s="343">
        <f>C82+C79</f>
        <v>53563031</v>
      </c>
      <c r="D94" s="343">
        <f>D82+D79</f>
        <v>53563031</v>
      </c>
      <c r="E94" s="383">
        <f>D94-C94</f>
        <v>0</v>
      </c>
    </row>
    <row r="95" spans="1:6" s="331" customFormat="1" ht="18.75" customHeight="1" thickBot="1" x14ac:dyDescent="0.25">
      <c r="A95" s="379" t="s">
        <v>77</v>
      </c>
      <c r="B95" s="380">
        <f>B77+B94</f>
        <v>139215196</v>
      </c>
      <c r="C95" s="380">
        <f>C77+C94</f>
        <v>112851685</v>
      </c>
      <c r="D95" s="380">
        <f>D77+D94</f>
        <v>115492483</v>
      </c>
      <c r="E95" s="381">
        <f>D95:D97-C95</f>
        <v>2640798</v>
      </c>
    </row>
    <row r="96" spans="1:6" x14ac:dyDescent="0.25">
      <c r="A96" s="353" t="s">
        <v>249</v>
      </c>
      <c r="B96" s="354">
        <v>8</v>
      </c>
      <c r="C96" s="354">
        <v>8</v>
      </c>
      <c r="D96" s="354">
        <v>8</v>
      </c>
      <c r="E96" s="289"/>
    </row>
    <row r="97" spans="1:5" x14ac:dyDescent="0.25">
      <c r="A97" s="48" t="s">
        <v>78</v>
      </c>
      <c r="B97" s="352">
        <v>2</v>
      </c>
      <c r="C97" s="352">
        <v>2</v>
      </c>
      <c r="D97" s="352">
        <v>2</v>
      </c>
      <c r="E97" s="289"/>
    </row>
  </sheetData>
  <sheetProtection selectLockedCells="1" selectUnlockedCells="1"/>
  <mergeCells count="1">
    <mergeCell ref="A3:E3"/>
  </mergeCells>
  <phoneticPr fontId="21" type="noConversion"/>
  <printOptions horizontalCentered="1" gridLines="1"/>
  <pageMargins left="0.62992125984251968" right="0.43307086614173229" top="0.98425196850393704" bottom="0.23622047244094491" header="0.27559055118110237" footer="0.51181102362204722"/>
  <pageSetup paperSize="9" scale="74" firstPageNumber="0" fitToHeight="0" orientation="portrait" r:id="rId1"/>
  <headerFooter alignWithMargins="0">
    <oddHeader>&amp;C&amp;"Times New Roman,Félkövér"&amp;12 2. melléklet a 11/2017. (IX. 29.) önkormányzati rendelethez
Az önkormányzat 2017. évi költségvetéséről szóló 2/2017. (II. 15.) önkormányzati rendelet 2. mellékletének helyébe a következő 2. melléklet lép:</oddHeader>
  </headerFooter>
  <rowBreaks count="2" manualBreakCount="2">
    <brk id="30" max="3" man="1"/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defaultColWidth="9.140625" defaultRowHeight="15.75" x14ac:dyDescent="0.25"/>
  <cols>
    <col min="1" max="1" width="71.28515625" style="214" customWidth="1"/>
    <col min="2" max="2" width="10" style="214" customWidth="1"/>
    <col min="3" max="3" width="9.7109375" style="214" customWidth="1"/>
    <col min="4" max="4" width="12.85546875" style="214" bestFit="1" customWidth="1"/>
    <col min="5" max="5" width="15.28515625" style="214" customWidth="1"/>
    <col min="6" max="6" width="13.85546875" style="214" bestFit="1" customWidth="1"/>
    <col min="7" max="7" width="15.85546875" style="214" bestFit="1" customWidth="1"/>
    <col min="8" max="8" width="11.28515625" style="214" bestFit="1" customWidth="1"/>
    <col min="9" max="16384" width="9.140625" style="214"/>
  </cols>
  <sheetData>
    <row r="1" spans="1:8" x14ac:dyDescent="0.25">
      <c r="A1" s="825" t="s">
        <v>542</v>
      </c>
      <c r="B1" s="825"/>
      <c r="C1" s="825"/>
      <c r="D1" s="825"/>
      <c r="E1" s="825"/>
      <c r="F1" s="825"/>
      <c r="G1" s="825"/>
      <c r="H1" s="825"/>
    </row>
    <row r="2" spans="1:8" ht="16.5" thickBot="1" x14ac:dyDescent="0.3"/>
    <row r="3" spans="1:8" x14ac:dyDescent="0.25">
      <c r="A3" s="830" t="s">
        <v>234</v>
      </c>
      <c r="B3" s="832" t="s">
        <v>564</v>
      </c>
      <c r="C3" s="834" t="s">
        <v>565</v>
      </c>
      <c r="D3" s="836" t="s">
        <v>566</v>
      </c>
      <c r="E3" s="838" t="s">
        <v>529</v>
      </c>
      <c r="F3" s="840" t="s">
        <v>530</v>
      </c>
      <c r="G3" s="828" t="s">
        <v>549</v>
      </c>
      <c r="H3" s="826" t="s">
        <v>531</v>
      </c>
    </row>
    <row r="4" spans="1:8" ht="19.5" customHeight="1" thickBot="1" x14ac:dyDescent="0.3">
      <c r="A4" s="831"/>
      <c r="B4" s="833"/>
      <c r="C4" s="835"/>
      <c r="D4" s="837"/>
      <c r="E4" s="839"/>
      <c r="F4" s="841"/>
      <c r="G4" s="829"/>
      <c r="H4" s="827"/>
    </row>
    <row r="5" spans="1:8" x14ac:dyDescent="0.25">
      <c r="A5" s="272" t="s">
        <v>242</v>
      </c>
      <c r="B5" s="273"/>
      <c r="C5" s="274"/>
      <c r="D5" s="275"/>
      <c r="E5" s="276">
        <f>E6+E28+E29</f>
        <v>16587442</v>
      </c>
      <c r="F5" s="277">
        <f>F6+F28+F29</f>
        <v>16794290</v>
      </c>
      <c r="G5" s="754">
        <f>G6+G28+G29</f>
        <v>17621351</v>
      </c>
      <c r="H5" s="773">
        <f>G5-F5</f>
        <v>827061</v>
      </c>
    </row>
    <row r="6" spans="1:8" x14ac:dyDescent="0.25">
      <c r="A6" s="215" t="s">
        <v>2</v>
      </c>
      <c r="B6" s="216"/>
      <c r="C6" s="217"/>
      <c r="D6" s="218"/>
      <c r="E6" s="219">
        <f>E7+E10+E20+E21+E23+E24+E26+E27</f>
        <v>16587442</v>
      </c>
      <c r="F6" s="260">
        <f>F7+F10+F20+F21+F23+F24+F26+F27</f>
        <v>16587442</v>
      </c>
      <c r="G6" s="755">
        <f>G7+G10+G20+G21+G23+G24+G26+G27+G31</f>
        <v>17587442</v>
      </c>
      <c r="H6" s="772">
        <f t="shared" ref="H6:H69" si="0">G6-F6</f>
        <v>1000000</v>
      </c>
    </row>
    <row r="7" spans="1:8" x14ac:dyDescent="0.25">
      <c r="A7" s="215" t="s">
        <v>79</v>
      </c>
      <c r="B7" s="216"/>
      <c r="C7" s="220"/>
      <c r="D7" s="218"/>
      <c r="E7" s="221">
        <f>E8</f>
        <v>0</v>
      </c>
      <c r="F7" s="261">
        <f>F8</f>
        <v>0</v>
      </c>
      <c r="G7" s="756">
        <f>G8</f>
        <v>0</v>
      </c>
      <c r="H7" s="772">
        <f t="shared" si="0"/>
        <v>0</v>
      </c>
    </row>
    <row r="8" spans="1:8" x14ac:dyDescent="0.25">
      <c r="A8" s="222" t="s">
        <v>80</v>
      </c>
      <c r="B8" s="216"/>
      <c r="C8" s="223"/>
      <c r="D8" s="224">
        <v>4580000</v>
      </c>
      <c r="E8" s="225">
        <f>C8*D8</f>
        <v>0</v>
      </c>
      <c r="F8" s="262">
        <f>C8*D8</f>
        <v>0</v>
      </c>
      <c r="G8" s="757">
        <f>D8*E8</f>
        <v>0</v>
      </c>
      <c r="H8" s="772">
        <f t="shared" si="0"/>
        <v>0</v>
      </c>
    </row>
    <row r="9" spans="1:8" x14ac:dyDescent="0.25">
      <c r="A9" s="222" t="s">
        <v>82</v>
      </c>
      <c r="B9" s="216"/>
      <c r="C9" s="220"/>
      <c r="D9" s="218"/>
      <c r="E9" s="226">
        <v>0</v>
      </c>
      <c r="F9" s="263">
        <v>0</v>
      </c>
      <c r="G9" s="758">
        <v>0</v>
      </c>
      <c r="H9" s="772">
        <f t="shared" si="0"/>
        <v>0</v>
      </c>
    </row>
    <row r="10" spans="1:8" x14ac:dyDescent="0.25">
      <c r="A10" s="227" t="s">
        <v>373</v>
      </c>
      <c r="B10" s="216"/>
      <c r="C10" s="220"/>
      <c r="D10" s="218"/>
      <c r="E10" s="221">
        <f>E11+E12+E13+E14+E15+E16+E17+E18</f>
        <v>12030100</v>
      </c>
      <c r="F10" s="261">
        <f>F11+F12+F13+F14+F15+F16+F17+F18</f>
        <v>12030100</v>
      </c>
      <c r="G10" s="756">
        <f>G11+G12+G13+G14+G15+G16+G17+G18</f>
        <v>12030100</v>
      </c>
      <c r="H10" s="772">
        <f t="shared" si="0"/>
        <v>0</v>
      </c>
    </row>
    <row r="11" spans="1:8" x14ac:dyDescent="0.25">
      <c r="A11" s="228" t="s">
        <v>81</v>
      </c>
      <c r="B11" s="216"/>
      <c r="C11" s="220"/>
      <c r="D11" s="218"/>
      <c r="E11" s="225">
        <v>1601140</v>
      </c>
      <c r="F11" s="262">
        <v>1601140</v>
      </c>
      <c r="G11" s="757">
        <v>1601140</v>
      </c>
      <c r="H11" s="772">
        <f t="shared" si="0"/>
        <v>0</v>
      </c>
    </row>
    <row r="12" spans="1:8" x14ac:dyDescent="0.25">
      <c r="A12" s="228" t="s">
        <v>82</v>
      </c>
      <c r="B12" s="216"/>
      <c r="C12" s="220"/>
      <c r="D12" s="218"/>
      <c r="E12" s="226">
        <v>0</v>
      </c>
      <c r="F12" s="263">
        <v>0</v>
      </c>
      <c r="G12" s="758">
        <v>0</v>
      </c>
      <c r="H12" s="772">
        <f t="shared" si="0"/>
        <v>0</v>
      </c>
    </row>
    <row r="13" spans="1:8" x14ac:dyDescent="0.25">
      <c r="A13" s="228" t="s">
        <v>83</v>
      </c>
      <c r="B13" s="216"/>
      <c r="C13" s="217"/>
      <c r="D13" s="218"/>
      <c r="E13" s="225">
        <v>9312000</v>
      </c>
      <c r="F13" s="262">
        <v>9312000</v>
      </c>
      <c r="G13" s="757">
        <v>9312000</v>
      </c>
      <c r="H13" s="772">
        <f t="shared" si="0"/>
        <v>0</v>
      </c>
    </row>
    <row r="14" spans="1:8" x14ac:dyDescent="0.25">
      <c r="A14" s="228" t="s">
        <v>82</v>
      </c>
      <c r="B14" s="216"/>
      <c r="C14" s="217"/>
      <c r="D14" s="218"/>
      <c r="E14" s="226">
        <v>0</v>
      </c>
      <c r="F14" s="263">
        <v>0</v>
      </c>
      <c r="G14" s="758">
        <v>0</v>
      </c>
      <c r="H14" s="772">
        <f t="shared" si="0"/>
        <v>0</v>
      </c>
    </row>
    <row r="15" spans="1:8" x14ac:dyDescent="0.25">
      <c r="A15" s="228" t="s">
        <v>84</v>
      </c>
      <c r="B15" s="216"/>
      <c r="C15" s="217"/>
      <c r="D15" s="218"/>
      <c r="E15" s="225">
        <v>100000</v>
      </c>
      <c r="F15" s="262">
        <v>100000</v>
      </c>
      <c r="G15" s="757">
        <v>100000</v>
      </c>
      <c r="H15" s="772">
        <f t="shared" si="0"/>
        <v>0</v>
      </c>
    </row>
    <row r="16" spans="1:8" x14ac:dyDescent="0.25">
      <c r="A16" s="228" t="s">
        <v>82</v>
      </c>
      <c r="B16" s="216"/>
      <c r="C16" s="217"/>
      <c r="D16" s="218"/>
      <c r="E16" s="226">
        <v>0</v>
      </c>
      <c r="F16" s="229">
        <v>0</v>
      </c>
      <c r="G16" s="759">
        <v>0</v>
      </c>
      <c r="H16" s="772">
        <f t="shared" si="0"/>
        <v>0</v>
      </c>
    </row>
    <row r="17" spans="1:8" x14ac:dyDescent="0.25">
      <c r="A17" s="228" t="s">
        <v>85</v>
      </c>
      <c r="B17" s="216"/>
      <c r="C17" s="217"/>
      <c r="D17" s="218"/>
      <c r="E17" s="225">
        <v>1016960</v>
      </c>
      <c r="F17" s="262">
        <v>1016960</v>
      </c>
      <c r="G17" s="757">
        <v>1016960</v>
      </c>
      <c r="H17" s="772">
        <f t="shared" si="0"/>
        <v>0</v>
      </c>
    </row>
    <row r="18" spans="1:8" x14ac:dyDescent="0.25">
      <c r="A18" s="228" t="s">
        <v>82</v>
      </c>
      <c r="B18" s="216"/>
      <c r="C18" s="217"/>
      <c r="D18" s="218"/>
      <c r="E18" s="226">
        <v>0</v>
      </c>
      <c r="F18" s="229">
        <v>0</v>
      </c>
      <c r="G18" s="759">
        <v>0</v>
      </c>
      <c r="H18" s="772">
        <f t="shared" si="0"/>
        <v>0</v>
      </c>
    </row>
    <row r="19" spans="1:8" x14ac:dyDescent="0.25">
      <c r="A19" s="215" t="s">
        <v>374</v>
      </c>
      <c r="B19" s="216"/>
      <c r="C19" s="217"/>
      <c r="D19" s="218"/>
      <c r="E19" s="219">
        <f>E20+E21</f>
        <v>4350992</v>
      </c>
      <c r="F19" s="260">
        <f>F20+F21</f>
        <v>4350992</v>
      </c>
      <c r="G19" s="755">
        <f>G20+G21</f>
        <v>4350992</v>
      </c>
      <c r="H19" s="772">
        <f t="shared" si="0"/>
        <v>0</v>
      </c>
    </row>
    <row r="20" spans="1:8" x14ac:dyDescent="0.25">
      <c r="A20" s="222" t="s">
        <v>237</v>
      </c>
      <c r="B20" s="230"/>
      <c r="C20" s="230"/>
      <c r="D20" s="224">
        <v>2700</v>
      </c>
      <c r="E20" s="225">
        <v>5000000</v>
      </c>
      <c r="F20" s="262">
        <v>5000000</v>
      </c>
      <c r="G20" s="757">
        <v>5000000</v>
      </c>
      <c r="H20" s="772">
        <f t="shared" si="0"/>
        <v>0</v>
      </c>
    </row>
    <row r="21" spans="1:8" x14ac:dyDescent="0.25">
      <c r="A21" s="228" t="s">
        <v>82</v>
      </c>
      <c r="B21" s="216"/>
      <c r="C21" s="231"/>
      <c r="D21" s="224"/>
      <c r="E21" s="225">
        <v>-649008</v>
      </c>
      <c r="F21" s="262">
        <v>-649008</v>
      </c>
      <c r="G21" s="757">
        <v>-649008</v>
      </c>
      <c r="H21" s="772">
        <f t="shared" si="0"/>
        <v>0</v>
      </c>
    </row>
    <row r="22" spans="1:8" x14ac:dyDescent="0.25">
      <c r="A22" s="215" t="s">
        <v>375</v>
      </c>
      <c r="B22" s="216"/>
      <c r="C22" s="231"/>
      <c r="D22" s="224"/>
      <c r="E22" s="221">
        <f>E23+E24</f>
        <v>94350</v>
      </c>
      <c r="F22" s="261">
        <f>F23+F24</f>
        <v>94350</v>
      </c>
      <c r="G22" s="756">
        <f>G23+G24</f>
        <v>94350</v>
      </c>
      <c r="H22" s="772">
        <f t="shared" si="0"/>
        <v>0</v>
      </c>
    </row>
    <row r="23" spans="1:8" x14ac:dyDescent="0.25">
      <c r="A23" s="222" t="s">
        <v>99</v>
      </c>
      <c r="B23" s="216"/>
      <c r="C23" s="231"/>
      <c r="D23" s="224">
        <v>2550</v>
      </c>
      <c r="E23" s="232">
        <v>94350</v>
      </c>
      <c r="F23" s="264">
        <v>94350</v>
      </c>
      <c r="G23" s="760">
        <v>94350</v>
      </c>
      <c r="H23" s="772">
        <f t="shared" si="0"/>
        <v>0</v>
      </c>
    </row>
    <row r="24" spans="1:8" x14ac:dyDescent="0.25">
      <c r="A24" s="228" t="s">
        <v>82</v>
      </c>
      <c r="B24" s="216"/>
      <c r="C24" s="217"/>
      <c r="D24" s="233"/>
      <c r="E24" s="231">
        <v>0</v>
      </c>
      <c r="F24" s="265">
        <v>0</v>
      </c>
      <c r="G24" s="761">
        <v>0</v>
      </c>
      <c r="H24" s="772">
        <f t="shared" si="0"/>
        <v>0</v>
      </c>
    </row>
    <row r="25" spans="1:8" x14ac:dyDescent="0.25">
      <c r="A25" s="234" t="s">
        <v>376</v>
      </c>
      <c r="B25" s="216"/>
      <c r="C25" s="231"/>
      <c r="D25" s="224"/>
      <c r="E25" s="235">
        <f>E26</f>
        <v>112000</v>
      </c>
      <c r="F25" s="266">
        <f>F26</f>
        <v>112000</v>
      </c>
      <c r="G25" s="762">
        <f>G26</f>
        <v>112000</v>
      </c>
      <c r="H25" s="772">
        <f t="shared" si="0"/>
        <v>0</v>
      </c>
    </row>
    <row r="26" spans="1:8" x14ac:dyDescent="0.25">
      <c r="A26" s="236" t="s">
        <v>377</v>
      </c>
      <c r="B26" s="216"/>
      <c r="C26" s="231"/>
      <c r="D26" s="224"/>
      <c r="E26" s="237">
        <v>112000</v>
      </c>
      <c r="F26" s="267">
        <v>112000</v>
      </c>
      <c r="G26" s="763">
        <v>112000</v>
      </c>
      <c r="H26" s="772">
        <f t="shared" si="0"/>
        <v>0</v>
      </c>
    </row>
    <row r="27" spans="1:8" x14ac:dyDescent="0.25">
      <c r="A27" s="228" t="s">
        <v>82</v>
      </c>
      <c r="B27" s="216"/>
      <c r="C27" s="231"/>
      <c r="D27" s="224"/>
      <c r="E27" s="225">
        <v>0</v>
      </c>
      <c r="F27" s="262">
        <v>0</v>
      </c>
      <c r="G27" s="757">
        <v>0</v>
      </c>
      <c r="H27" s="772">
        <f t="shared" si="0"/>
        <v>0</v>
      </c>
    </row>
    <row r="28" spans="1:8" s="239" customFormat="1" x14ac:dyDescent="0.25">
      <c r="A28" s="227" t="s">
        <v>522</v>
      </c>
      <c r="B28" s="216"/>
      <c r="C28" s="217"/>
      <c r="D28" s="217"/>
      <c r="E28" s="238">
        <v>0</v>
      </c>
      <c r="F28" s="278">
        <v>33909</v>
      </c>
      <c r="G28" s="764">
        <v>33909</v>
      </c>
      <c r="H28" s="772">
        <f t="shared" si="0"/>
        <v>0</v>
      </c>
    </row>
    <row r="29" spans="1:8" s="239" customFormat="1" x14ac:dyDescent="0.25">
      <c r="A29" s="745" t="s">
        <v>534</v>
      </c>
      <c r="B29" s="746"/>
      <c r="C29" s="746"/>
      <c r="D29" s="746"/>
      <c r="E29" s="746">
        <v>0</v>
      </c>
      <c r="F29" s="747">
        <v>172939</v>
      </c>
      <c r="G29" s="765">
        <v>0</v>
      </c>
      <c r="H29" s="772">
        <f t="shared" si="0"/>
        <v>-172939</v>
      </c>
    </row>
    <row r="30" spans="1:8" s="239" customFormat="1" x14ac:dyDescent="0.25">
      <c r="A30" s="279"/>
      <c r="B30" s="217"/>
      <c r="C30" s="217"/>
      <c r="D30" s="217"/>
      <c r="E30" s="217"/>
      <c r="F30" s="278"/>
      <c r="G30" s="764"/>
      <c r="H30" s="772">
        <f t="shared" si="0"/>
        <v>0</v>
      </c>
    </row>
    <row r="31" spans="1:8" s="239" customFormat="1" x14ac:dyDescent="0.25">
      <c r="A31" s="279" t="s">
        <v>567</v>
      </c>
      <c r="B31" s="217"/>
      <c r="C31" s="217"/>
      <c r="D31" s="217"/>
      <c r="E31" s="217"/>
      <c r="F31" s="278"/>
      <c r="G31" s="764">
        <v>1000000</v>
      </c>
      <c r="H31" s="772">
        <f t="shared" si="0"/>
        <v>1000000</v>
      </c>
    </row>
    <row r="32" spans="1:8" s="239" customFormat="1" x14ac:dyDescent="0.25">
      <c r="A32" s="166"/>
      <c r="B32" s="231"/>
      <c r="C32" s="231"/>
      <c r="D32" s="231"/>
      <c r="E32" s="231"/>
      <c r="F32" s="168"/>
      <c r="G32" s="724"/>
      <c r="H32" s="772">
        <f t="shared" si="0"/>
        <v>0</v>
      </c>
    </row>
    <row r="33" spans="1:8" x14ac:dyDescent="0.25">
      <c r="A33" s="215" t="s">
        <v>378</v>
      </c>
      <c r="B33" s="216"/>
      <c r="C33" s="231"/>
      <c r="D33" s="224"/>
      <c r="E33" s="218">
        <v>0</v>
      </c>
      <c r="F33" s="229">
        <v>0</v>
      </c>
      <c r="G33" s="759">
        <v>0</v>
      </c>
      <c r="H33" s="772">
        <f t="shared" si="0"/>
        <v>0</v>
      </c>
    </row>
    <row r="34" spans="1:8" x14ac:dyDescent="0.25">
      <c r="A34" s="236"/>
      <c r="B34" s="230"/>
      <c r="C34" s="230"/>
      <c r="D34" s="224"/>
      <c r="E34" s="232"/>
      <c r="F34" s="229"/>
      <c r="G34" s="759"/>
      <c r="H34" s="772">
        <f t="shared" si="0"/>
        <v>0</v>
      </c>
    </row>
    <row r="35" spans="1:8" x14ac:dyDescent="0.25">
      <c r="A35" s="215" t="s">
        <v>243</v>
      </c>
      <c r="B35" s="216"/>
      <c r="C35" s="231"/>
      <c r="D35" s="224"/>
      <c r="E35" s="218">
        <f>E36+E39+E56</f>
        <v>7368754</v>
      </c>
      <c r="F35" s="268">
        <f>F36+F39+F56</f>
        <v>7368754</v>
      </c>
      <c r="G35" s="766">
        <f>G36+G39+G56</f>
        <v>7368754</v>
      </c>
      <c r="H35" s="772">
        <f t="shared" si="0"/>
        <v>0</v>
      </c>
    </row>
    <row r="36" spans="1:8" x14ac:dyDescent="0.25">
      <c r="A36" s="215" t="s">
        <v>86</v>
      </c>
      <c r="B36" s="216"/>
      <c r="C36" s="231"/>
      <c r="D36" s="224"/>
      <c r="E36" s="218">
        <f>SUM(E37:E38)</f>
        <v>3655000</v>
      </c>
      <c r="F36" s="268">
        <f>SUM(F37:F38)</f>
        <v>3655000</v>
      </c>
      <c r="G36" s="766">
        <f>SUM(G37:G38)</f>
        <v>3655000</v>
      </c>
      <c r="H36" s="772">
        <f t="shared" si="0"/>
        <v>0</v>
      </c>
    </row>
    <row r="37" spans="1:8" x14ac:dyDescent="0.25">
      <c r="A37" s="222" t="s">
        <v>239</v>
      </c>
      <c r="B37" s="216"/>
      <c r="C37" s="231"/>
      <c r="D37" s="224"/>
      <c r="E37" s="224"/>
      <c r="F37" s="229"/>
      <c r="G37" s="759"/>
      <c r="H37" s="772">
        <f t="shared" si="0"/>
        <v>0</v>
      </c>
    </row>
    <row r="38" spans="1:8" x14ac:dyDescent="0.25">
      <c r="A38" s="222" t="s">
        <v>238</v>
      </c>
      <c r="B38" s="216"/>
      <c r="C38" s="231"/>
      <c r="D38" s="224"/>
      <c r="E38" s="224">
        <v>3655000</v>
      </c>
      <c r="F38" s="269">
        <v>3655000</v>
      </c>
      <c r="G38" s="767">
        <v>3655000</v>
      </c>
      <c r="H38" s="772">
        <f t="shared" si="0"/>
        <v>0</v>
      </c>
    </row>
    <row r="39" spans="1:8" x14ac:dyDescent="0.25">
      <c r="A39" s="215" t="s">
        <v>87</v>
      </c>
      <c r="B39" s="230"/>
      <c r="C39" s="231"/>
      <c r="D39" s="224"/>
      <c r="E39" s="218">
        <f>E41+E42+E43+E44+E45+E46+E47+E48+E52+E40</f>
        <v>2500000</v>
      </c>
      <c r="F39" s="268">
        <f>F41+F42+F43+F44+F45+F46+F47+F48+F52+F40</f>
        <v>2500000</v>
      </c>
      <c r="G39" s="766">
        <f>G41+G42+G43+G44+G45+G46+G47+G48+G52+G40</f>
        <v>2500000</v>
      </c>
      <c r="H39" s="772">
        <f t="shared" si="0"/>
        <v>0</v>
      </c>
    </row>
    <row r="40" spans="1:8" x14ac:dyDescent="0.25">
      <c r="A40" s="222" t="s">
        <v>440</v>
      </c>
      <c r="B40" s="230"/>
      <c r="C40" s="231"/>
      <c r="D40" s="224">
        <v>2500000</v>
      </c>
      <c r="E40" s="224">
        <v>2500000</v>
      </c>
      <c r="F40" s="269">
        <v>2500000</v>
      </c>
      <c r="G40" s="767">
        <v>2500000</v>
      </c>
      <c r="H40" s="772">
        <f t="shared" si="0"/>
        <v>0</v>
      </c>
    </row>
    <row r="41" spans="1:8" x14ac:dyDescent="0.25">
      <c r="A41" s="240" t="s">
        <v>379</v>
      </c>
      <c r="B41" s="230"/>
      <c r="C41" s="223"/>
      <c r="D41" s="224">
        <v>3000000</v>
      </c>
      <c r="E41" s="224">
        <v>0</v>
      </c>
      <c r="F41" s="269">
        <v>0</v>
      </c>
      <c r="G41" s="767">
        <v>0</v>
      </c>
      <c r="H41" s="772">
        <f t="shared" si="0"/>
        <v>0</v>
      </c>
    </row>
    <row r="42" spans="1:8" x14ac:dyDescent="0.25">
      <c r="A42" s="240" t="s">
        <v>380</v>
      </c>
      <c r="B42" s="230"/>
      <c r="C42" s="223"/>
      <c r="D42" s="224">
        <v>3000000</v>
      </c>
      <c r="E42" s="224">
        <v>0</v>
      </c>
      <c r="F42" s="229">
        <v>0</v>
      </c>
      <c r="G42" s="759">
        <v>0</v>
      </c>
      <c r="H42" s="772">
        <f t="shared" si="0"/>
        <v>0</v>
      </c>
    </row>
    <row r="43" spans="1:8" x14ac:dyDescent="0.25">
      <c r="A43" s="222"/>
      <c r="B43" s="230"/>
      <c r="C43" s="241"/>
      <c r="D43" s="224"/>
      <c r="E43" s="224"/>
      <c r="F43" s="229"/>
      <c r="G43" s="759"/>
      <c r="H43" s="772">
        <f t="shared" si="0"/>
        <v>0</v>
      </c>
    </row>
    <row r="44" spans="1:8" x14ac:dyDescent="0.25">
      <c r="A44" s="222"/>
      <c r="B44" s="230"/>
      <c r="C44" s="223"/>
      <c r="D44" s="224"/>
      <c r="E44" s="224"/>
      <c r="F44" s="229"/>
      <c r="G44" s="759"/>
      <c r="H44" s="772">
        <f t="shared" si="0"/>
        <v>0</v>
      </c>
    </row>
    <row r="45" spans="1:8" x14ac:dyDescent="0.25">
      <c r="A45" s="222" t="s">
        <v>88</v>
      </c>
      <c r="B45" s="230"/>
      <c r="C45" s="231"/>
      <c r="D45" s="224">
        <v>55360</v>
      </c>
      <c r="E45" s="224">
        <f>C45*D45</f>
        <v>0</v>
      </c>
      <c r="F45" s="229">
        <v>0</v>
      </c>
      <c r="G45" s="759">
        <v>0</v>
      </c>
      <c r="H45" s="772">
        <f t="shared" si="0"/>
        <v>0</v>
      </c>
    </row>
    <row r="46" spans="1:8" x14ac:dyDescent="0.25">
      <c r="A46" s="222" t="s">
        <v>381</v>
      </c>
      <c r="B46" s="230"/>
      <c r="C46" s="231"/>
      <c r="D46" s="224">
        <v>188500</v>
      </c>
      <c r="E46" s="224">
        <f>C46*D46</f>
        <v>0</v>
      </c>
      <c r="F46" s="229">
        <v>0</v>
      </c>
      <c r="G46" s="759">
        <v>0</v>
      </c>
      <c r="H46" s="772">
        <f t="shared" si="0"/>
        <v>0</v>
      </c>
    </row>
    <row r="47" spans="1:8" x14ac:dyDescent="0.25">
      <c r="A47" s="242" t="s">
        <v>382</v>
      </c>
      <c r="B47" s="230"/>
      <c r="C47" s="231"/>
      <c r="D47" s="224">
        <v>163500</v>
      </c>
      <c r="E47" s="224">
        <f>C47*D47</f>
        <v>0</v>
      </c>
      <c r="F47" s="229">
        <v>0</v>
      </c>
      <c r="G47" s="759">
        <v>0</v>
      </c>
      <c r="H47" s="772">
        <f t="shared" si="0"/>
        <v>0</v>
      </c>
    </row>
    <row r="48" spans="1:8" x14ac:dyDescent="0.25">
      <c r="A48" s="240" t="s">
        <v>89</v>
      </c>
      <c r="B48" s="243"/>
      <c r="C48" s="244"/>
      <c r="D48" s="245"/>
      <c r="E48" s="224">
        <f>E49+E50+E51</f>
        <v>0</v>
      </c>
      <c r="F48" s="229">
        <v>0</v>
      </c>
      <c r="G48" s="759">
        <v>0</v>
      </c>
      <c r="H48" s="772">
        <f t="shared" si="0"/>
        <v>0</v>
      </c>
    </row>
    <row r="49" spans="1:8" x14ac:dyDescent="0.25">
      <c r="A49" s="222" t="s">
        <v>244</v>
      </c>
      <c r="B49" s="230"/>
      <c r="C49" s="231"/>
      <c r="D49" s="224">
        <v>550000</v>
      </c>
      <c r="E49" s="224">
        <f>C49*D49</f>
        <v>0</v>
      </c>
      <c r="F49" s="229">
        <v>0</v>
      </c>
      <c r="G49" s="759">
        <v>0</v>
      </c>
      <c r="H49" s="772">
        <f t="shared" si="0"/>
        <v>0</v>
      </c>
    </row>
    <row r="50" spans="1:8" ht="31.5" x14ac:dyDescent="0.25">
      <c r="A50" s="242" t="s">
        <v>90</v>
      </c>
      <c r="B50" s="230"/>
      <c r="C50" s="231"/>
      <c r="D50" s="224">
        <v>220000</v>
      </c>
      <c r="E50" s="224">
        <f>C50*D50</f>
        <v>0</v>
      </c>
      <c r="F50" s="229">
        <v>0</v>
      </c>
      <c r="G50" s="759">
        <v>0</v>
      </c>
      <c r="H50" s="772">
        <f t="shared" si="0"/>
        <v>0</v>
      </c>
    </row>
    <row r="51" spans="1:8" x14ac:dyDescent="0.25">
      <c r="A51" s="236" t="s">
        <v>245</v>
      </c>
      <c r="B51" s="230"/>
      <c r="C51" s="231"/>
      <c r="D51" s="224">
        <v>550000</v>
      </c>
      <c r="E51" s="224">
        <f>C51*D51</f>
        <v>0</v>
      </c>
      <c r="F51" s="229">
        <v>0</v>
      </c>
      <c r="G51" s="759">
        <v>0</v>
      </c>
      <c r="H51" s="772">
        <f t="shared" si="0"/>
        <v>0</v>
      </c>
    </row>
    <row r="52" spans="1:8" x14ac:dyDescent="0.25">
      <c r="A52" s="240" t="s">
        <v>91</v>
      </c>
      <c r="B52" s="216"/>
      <c r="C52" s="231"/>
      <c r="D52" s="224"/>
      <c r="E52" s="224">
        <v>0</v>
      </c>
      <c r="F52" s="229">
        <v>0</v>
      </c>
      <c r="G52" s="759">
        <v>0</v>
      </c>
      <c r="H52" s="772">
        <f t="shared" si="0"/>
        <v>0</v>
      </c>
    </row>
    <row r="53" spans="1:8" x14ac:dyDescent="0.25">
      <c r="A53" s="222" t="s">
        <v>92</v>
      </c>
      <c r="B53" s="230"/>
      <c r="C53" s="231"/>
      <c r="D53" s="224">
        <v>494100</v>
      </c>
      <c r="E53" s="224">
        <f>C53*D53</f>
        <v>0</v>
      </c>
      <c r="F53" s="229">
        <v>0</v>
      </c>
      <c r="G53" s="759">
        <v>0</v>
      </c>
      <c r="H53" s="772">
        <f t="shared" si="0"/>
        <v>0</v>
      </c>
    </row>
    <row r="54" spans="1:8" x14ac:dyDescent="0.25">
      <c r="A54" s="222" t="s">
        <v>93</v>
      </c>
      <c r="B54" s="230"/>
      <c r="C54" s="231"/>
      <c r="D54" s="224">
        <v>518805</v>
      </c>
      <c r="E54" s="224">
        <v>0</v>
      </c>
      <c r="F54" s="229">
        <v>0</v>
      </c>
      <c r="G54" s="759">
        <v>0</v>
      </c>
      <c r="H54" s="772">
        <f t="shared" si="0"/>
        <v>0</v>
      </c>
    </row>
    <row r="55" spans="1:8" ht="31.5" x14ac:dyDescent="0.25">
      <c r="A55" s="242" t="s">
        <v>384</v>
      </c>
      <c r="B55" s="230"/>
      <c r="C55" s="231"/>
      <c r="D55" s="224">
        <v>1508760</v>
      </c>
      <c r="E55" s="224">
        <v>0</v>
      </c>
      <c r="F55" s="229">
        <v>0</v>
      </c>
      <c r="G55" s="759">
        <v>0</v>
      </c>
      <c r="H55" s="772">
        <f t="shared" si="0"/>
        <v>0</v>
      </c>
    </row>
    <row r="56" spans="1:8" x14ac:dyDescent="0.25">
      <c r="A56" s="215" t="s">
        <v>94</v>
      </c>
      <c r="B56" s="216"/>
      <c r="C56" s="246"/>
      <c r="D56" s="218">
        <v>1632000</v>
      </c>
      <c r="E56" s="218">
        <f>E57+E58+E59</f>
        <v>1213754</v>
      </c>
      <c r="F56" s="268">
        <f>F57+F58+F59</f>
        <v>1213754</v>
      </c>
      <c r="G56" s="766">
        <f>G57+G58+G59</f>
        <v>1213754</v>
      </c>
      <c r="H56" s="772">
        <f t="shared" si="0"/>
        <v>0</v>
      </c>
    </row>
    <row r="57" spans="1:8" x14ac:dyDescent="0.25">
      <c r="A57" s="222" t="s">
        <v>95</v>
      </c>
      <c r="B57" s="230"/>
      <c r="C57" s="230"/>
      <c r="D57" s="224">
        <v>1632000</v>
      </c>
      <c r="E57" s="224">
        <v>783360</v>
      </c>
      <c r="F57" s="269">
        <v>783360</v>
      </c>
      <c r="G57" s="767">
        <v>783360</v>
      </c>
      <c r="H57" s="772">
        <f t="shared" si="0"/>
        <v>0</v>
      </c>
    </row>
    <row r="58" spans="1:8" x14ac:dyDescent="0.25">
      <c r="A58" s="222" t="s">
        <v>96</v>
      </c>
      <c r="B58" s="230"/>
      <c r="C58" s="247"/>
      <c r="D58" s="224"/>
      <c r="E58" s="224">
        <v>430394</v>
      </c>
      <c r="F58" s="269">
        <v>430394</v>
      </c>
      <c r="G58" s="767">
        <v>430394</v>
      </c>
      <c r="H58" s="772">
        <f t="shared" si="0"/>
        <v>0</v>
      </c>
    </row>
    <row r="59" spans="1:8" x14ac:dyDescent="0.25">
      <c r="A59" s="222" t="s">
        <v>383</v>
      </c>
      <c r="B59" s="216"/>
      <c r="C59" s="247"/>
      <c r="D59" s="224"/>
      <c r="E59" s="224">
        <v>0</v>
      </c>
      <c r="F59" s="229">
        <v>0</v>
      </c>
      <c r="G59" s="759">
        <v>0</v>
      </c>
      <c r="H59" s="772">
        <f t="shared" si="0"/>
        <v>0</v>
      </c>
    </row>
    <row r="60" spans="1:8" x14ac:dyDescent="0.25">
      <c r="A60" s="222"/>
      <c r="B60" s="230"/>
      <c r="C60" s="230"/>
      <c r="D60" s="224"/>
      <c r="E60" s="224"/>
      <c r="F60" s="229"/>
      <c r="G60" s="759"/>
      <c r="H60" s="772">
        <f t="shared" si="0"/>
        <v>0</v>
      </c>
    </row>
    <row r="61" spans="1:8" x14ac:dyDescent="0.25">
      <c r="A61" s="222"/>
      <c r="B61" s="230"/>
      <c r="C61" s="230"/>
      <c r="D61" s="224"/>
      <c r="E61" s="248"/>
      <c r="F61" s="229"/>
      <c r="G61" s="759"/>
      <c r="H61" s="772">
        <f t="shared" si="0"/>
        <v>0</v>
      </c>
    </row>
    <row r="62" spans="1:8" x14ac:dyDescent="0.25">
      <c r="A62" s="249" t="s">
        <v>97</v>
      </c>
      <c r="B62" s="250"/>
      <c r="C62" s="250"/>
      <c r="D62" s="250"/>
      <c r="E62" s="235">
        <f>E63</f>
        <v>1200000</v>
      </c>
      <c r="F62" s="266">
        <f>F63</f>
        <v>1200000</v>
      </c>
      <c r="G62" s="762">
        <f>G63</f>
        <v>1200000</v>
      </c>
      <c r="H62" s="772">
        <f t="shared" si="0"/>
        <v>0</v>
      </c>
    </row>
    <row r="63" spans="1:8" x14ac:dyDescent="0.25">
      <c r="A63" s="251" t="s">
        <v>98</v>
      </c>
      <c r="B63" s="231"/>
      <c r="C63" s="231"/>
      <c r="D63" s="224">
        <v>1140</v>
      </c>
      <c r="E63" s="232">
        <v>1200000</v>
      </c>
      <c r="F63" s="264">
        <v>1200000</v>
      </c>
      <c r="G63" s="760">
        <v>1200000</v>
      </c>
      <c r="H63" s="772">
        <f t="shared" si="0"/>
        <v>0</v>
      </c>
    </row>
    <row r="64" spans="1:8" x14ac:dyDescent="0.25">
      <c r="A64" s="236" t="s">
        <v>3</v>
      </c>
      <c r="B64" s="231"/>
      <c r="C64" s="231"/>
      <c r="D64" s="224"/>
      <c r="E64" s="232"/>
      <c r="F64" s="252"/>
      <c r="G64" s="768"/>
      <c r="H64" s="772">
        <f t="shared" si="0"/>
        <v>0</v>
      </c>
    </row>
    <row r="65" spans="1:9" x14ac:dyDescent="0.25">
      <c r="A65" s="253"/>
      <c r="B65" s="254"/>
      <c r="C65" s="254"/>
      <c r="D65" s="255"/>
      <c r="E65" s="256"/>
      <c r="F65" s="270"/>
      <c r="G65" s="769"/>
      <c r="H65" s="772">
        <f t="shared" si="0"/>
        <v>0</v>
      </c>
    </row>
    <row r="66" spans="1:9" s="257" customFormat="1" ht="31.5" x14ac:dyDescent="0.25">
      <c r="A66" s="259" t="s">
        <v>535</v>
      </c>
      <c r="B66" s="217"/>
      <c r="C66" s="217"/>
      <c r="D66" s="218"/>
      <c r="E66" s="235"/>
      <c r="F66" s="271">
        <f>F67</f>
        <v>26132</v>
      </c>
      <c r="G66" s="770">
        <f>G67</f>
        <v>26132</v>
      </c>
      <c r="H66" s="772">
        <f t="shared" si="0"/>
        <v>0</v>
      </c>
      <c r="I66" s="214"/>
    </row>
    <row r="67" spans="1:9" s="239" customFormat="1" x14ac:dyDescent="0.25">
      <c r="A67" s="280" t="s">
        <v>533</v>
      </c>
      <c r="B67" s="254"/>
      <c r="C67" s="231"/>
      <c r="D67" s="231"/>
      <c r="E67" s="231"/>
      <c r="F67" s="168">
        <v>26132</v>
      </c>
      <c r="G67" s="724">
        <v>26132</v>
      </c>
      <c r="H67" s="772">
        <f t="shared" si="0"/>
        <v>0</v>
      </c>
    </row>
    <row r="68" spans="1:9" s="239" customFormat="1" ht="31.5" x14ac:dyDescent="0.25">
      <c r="A68" s="776" t="s">
        <v>578</v>
      </c>
      <c r="B68" s="254"/>
      <c r="C68" s="281"/>
      <c r="D68" s="281"/>
      <c r="E68" s="281"/>
      <c r="F68" s="182">
        <f>F69+F70</f>
        <v>0</v>
      </c>
      <c r="G68" s="780">
        <f>G69+G70</f>
        <v>1463748</v>
      </c>
      <c r="H68" s="781">
        <f t="shared" si="0"/>
        <v>1463748</v>
      </c>
    </row>
    <row r="69" spans="1:9" s="239" customFormat="1" x14ac:dyDescent="0.25">
      <c r="A69" s="280" t="s">
        <v>579</v>
      </c>
      <c r="B69" s="254"/>
      <c r="C69" s="281"/>
      <c r="D69" s="281"/>
      <c r="E69" s="281"/>
      <c r="F69" s="182"/>
      <c r="G69" s="782">
        <f>215209+1075600</f>
        <v>1290809</v>
      </c>
      <c r="H69" s="772">
        <f t="shared" si="0"/>
        <v>1290809</v>
      </c>
    </row>
    <row r="70" spans="1:9" ht="16.5" thickBot="1" x14ac:dyDescent="0.3">
      <c r="A70" s="777" t="s">
        <v>534</v>
      </c>
      <c r="B70" s="746"/>
      <c r="C70" s="746"/>
      <c r="D70" s="746"/>
      <c r="E70" s="746">
        <v>0</v>
      </c>
      <c r="F70" s="779">
        <v>0</v>
      </c>
      <c r="G70" s="778">
        <v>172939</v>
      </c>
      <c r="H70" s="774">
        <f>G70-F70</f>
        <v>172939</v>
      </c>
    </row>
    <row r="71" spans="1:9" ht="16.5" thickBot="1" x14ac:dyDescent="0.3">
      <c r="A71" s="282" t="s">
        <v>100</v>
      </c>
      <c r="B71" s="283"/>
      <c r="C71" s="283"/>
      <c r="D71" s="283"/>
      <c r="E71" s="284">
        <f>E62+E35+E33+E5+E66</f>
        <v>25156196</v>
      </c>
      <c r="F71" s="285">
        <f>F62+F35+F33+F5+F66</f>
        <v>25389176</v>
      </c>
      <c r="G71" s="771">
        <f>G62+G35+G33+G5+G66+G68</f>
        <v>27679985</v>
      </c>
      <c r="H71" s="775">
        <f>G71-F71</f>
        <v>2290809</v>
      </c>
    </row>
    <row r="72" spans="1:9" x14ac:dyDescent="0.25">
      <c r="F72" s="258">
        <f>F71-D71</f>
        <v>25389176</v>
      </c>
      <c r="G72" s="258">
        <f>G71-F71</f>
        <v>2290809</v>
      </c>
    </row>
    <row r="73" spans="1:9" x14ac:dyDescent="0.25">
      <c r="F73" s="258"/>
      <c r="G73" s="258"/>
    </row>
  </sheetData>
  <mergeCells count="9">
    <mergeCell ref="A1:H1"/>
    <mergeCell ref="H3:H4"/>
    <mergeCell ref="G3:G4"/>
    <mergeCell ref="A3:A4"/>
    <mergeCell ref="B3:B4"/>
    <mergeCell ref="C3:C4"/>
    <mergeCell ref="D3:D4"/>
    <mergeCell ref="E3:E4"/>
    <mergeCell ref="F3:F4"/>
  </mergeCells>
  <phoneticPr fontId="21" type="noConversion"/>
  <printOptions horizontalCentered="1" verticalCentered="1"/>
  <pageMargins left="0.70866141732283472" right="0.70866141732283472" top="0.94488188976377963" bottom="0.74803149606299213" header="0.51181102362204722" footer="0.31496062992125984"/>
  <pageSetup paperSize="9" scale="40" orientation="landscape" r:id="rId1"/>
  <headerFooter>
    <oddHeader>&amp;C&amp;"Times New Roman,Félkövér"&amp;12 2/a. melléklet a 11/2017. (IX. 29.) önkormányzati rendelethez
Az önkormányzat 2017. évi költségvetéséről szóló 2/2017. (II. 15.) önkormányzati rendelet 2/a mellékletének helyébe a következő 2/a melléklet lép: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0"/>
  <sheetViews>
    <sheetView view="pageLayout" zoomScaleNormal="75" zoomScaleSheetLayoutView="80" workbookViewId="0">
      <selection activeCell="A2" sqref="A2:E3"/>
    </sheetView>
  </sheetViews>
  <sheetFormatPr defaultColWidth="9.140625" defaultRowHeight="15.75" x14ac:dyDescent="0.25"/>
  <cols>
    <col min="1" max="1" width="45.85546875" style="197" bestFit="1" customWidth="1"/>
    <col min="2" max="5" width="15.7109375" style="197" customWidth="1"/>
    <col min="6" max="6" width="11.7109375" style="197" customWidth="1"/>
    <col min="7" max="7" width="10.140625" style="197" bestFit="1" customWidth="1"/>
    <col min="8" max="8" width="10.7109375" style="197" customWidth="1"/>
    <col min="9" max="16384" width="9.140625" style="197"/>
  </cols>
  <sheetData>
    <row r="1" spans="1:7" ht="9.75" customHeight="1" thickBot="1" x14ac:dyDescent="0.3"/>
    <row r="2" spans="1:7" ht="29.25" customHeight="1" x14ac:dyDescent="0.25">
      <c r="A2" s="842" t="s">
        <v>543</v>
      </c>
      <c r="B2" s="843"/>
      <c r="C2" s="843"/>
      <c r="D2" s="843"/>
      <c r="E2" s="844"/>
    </row>
    <row r="3" spans="1:7" ht="16.5" thickBot="1" x14ac:dyDescent="0.3">
      <c r="A3" s="845"/>
      <c r="B3" s="846"/>
      <c r="C3" s="846"/>
      <c r="D3" s="846"/>
      <c r="E3" s="847"/>
    </row>
    <row r="4" spans="1:7" ht="16.5" thickBot="1" x14ac:dyDescent="0.3"/>
    <row r="5" spans="1:7" ht="51.75" customHeight="1" thickBot="1" x14ac:dyDescent="0.3">
      <c r="A5" s="192" t="s">
        <v>234</v>
      </c>
      <c r="B5" s="192" t="s">
        <v>529</v>
      </c>
      <c r="C5" s="192" t="s">
        <v>530</v>
      </c>
      <c r="D5" s="731" t="s">
        <v>549</v>
      </c>
      <c r="E5" s="193" t="s">
        <v>531</v>
      </c>
    </row>
    <row r="6" spans="1:7" x14ac:dyDescent="0.25">
      <c r="A6" s="33" t="s">
        <v>388</v>
      </c>
      <c r="B6" s="205"/>
      <c r="C6" s="205"/>
      <c r="D6" s="735"/>
      <c r="E6" s="206"/>
    </row>
    <row r="7" spans="1:7" x14ac:dyDescent="0.25">
      <c r="A7" s="194" t="s">
        <v>389</v>
      </c>
      <c r="B7" s="200">
        <f>7764030+800000+80000+85000+5903720+600000+250000</f>
        <v>15482750</v>
      </c>
      <c r="C7" s="200">
        <f>B7+1793818</f>
        <v>17276568</v>
      </c>
      <c r="D7" s="733">
        <f>C7+286875+177500+30000</f>
        <v>17770943</v>
      </c>
      <c r="E7" s="201">
        <f>D7-C7</f>
        <v>494375</v>
      </c>
      <c r="G7" s="202"/>
    </row>
    <row r="8" spans="1:7" x14ac:dyDescent="0.25">
      <c r="A8" s="194" t="s">
        <v>390</v>
      </c>
      <c r="B8" s="200">
        <v>3800000</v>
      </c>
      <c r="C8" s="200">
        <f>B8-156863</f>
        <v>3643137</v>
      </c>
      <c r="D8" s="733">
        <f>C8+63114+39050+14000</f>
        <v>3759301</v>
      </c>
      <c r="E8" s="201">
        <f>D8-C8</f>
        <v>116164</v>
      </c>
    </row>
    <row r="9" spans="1:7" x14ac:dyDescent="0.25">
      <c r="A9" s="194" t="s">
        <v>391</v>
      </c>
      <c r="B9" s="200">
        <f>SUM(B11:B28)</f>
        <v>32296000</v>
      </c>
      <c r="C9" s="200">
        <f>SUM(C11:C12,C13:C21,C22,C23:C25,C26:C28)</f>
        <v>33249503</v>
      </c>
      <c r="D9" s="200">
        <f>SUM(D11:D12,D13:D21,D22,D23:D25,D26:D28)</f>
        <v>34356503</v>
      </c>
      <c r="E9" s="201">
        <f>D9-C9</f>
        <v>1107000</v>
      </c>
    </row>
    <row r="10" spans="1:7" x14ac:dyDescent="0.25">
      <c r="A10" s="34" t="s">
        <v>392</v>
      </c>
      <c r="B10" s="198"/>
      <c r="C10" s="198"/>
      <c r="D10" s="732"/>
      <c r="E10" s="199"/>
    </row>
    <row r="11" spans="1:7" x14ac:dyDescent="0.25">
      <c r="A11" s="89" t="s">
        <v>400</v>
      </c>
      <c r="B11" s="198">
        <v>90000</v>
      </c>
      <c r="C11" s="198">
        <v>90000</v>
      </c>
      <c r="D11" s="732">
        <f>C11</f>
        <v>90000</v>
      </c>
      <c r="E11" s="199">
        <f>D11-C11</f>
        <v>0</v>
      </c>
    </row>
    <row r="12" spans="1:7" s="213" customFormat="1" x14ac:dyDescent="0.25">
      <c r="A12" s="211" t="s">
        <v>401</v>
      </c>
      <c r="B12" s="212">
        <v>2500000</v>
      </c>
      <c r="C12" s="212">
        <f>B12+51990</f>
        <v>2551990</v>
      </c>
      <c r="D12" s="734">
        <f>C12+454000</f>
        <v>3005990</v>
      </c>
      <c r="E12" s="199">
        <f t="shared" ref="E12:E27" si="0">D12-C12</f>
        <v>454000</v>
      </c>
      <c r="F12" s="197" t="s">
        <v>576</v>
      </c>
    </row>
    <row r="13" spans="1:7" x14ac:dyDescent="0.25">
      <c r="A13" s="89" t="s">
        <v>402</v>
      </c>
      <c r="B13" s="198">
        <v>0</v>
      </c>
      <c r="C13" s="198">
        <v>0</v>
      </c>
      <c r="D13" s="732">
        <v>0</v>
      </c>
      <c r="E13" s="199">
        <f t="shared" si="0"/>
        <v>0</v>
      </c>
    </row>
    <row r="14" spans="1:7" ht="15.75" customHeight="1" x14ac:dyDescent="0.25">
      <c r="A14" s="89" t="s">
        <v>403</v>
      </c>
      <c r="B14" s="198">
        <v>750000</v>
      </c>
      <c r="C14" s="198">
        <v>900000</v>
      </c>
      <c r="D14" s="732">
        <f>C14</f>
        <v>900000</v>
      </c>
      <c r="E14" s="199">
        <f t="shared" si="0"/>
        <v>0</v>
      </c>
      <c r="G14" s="202"/>
    </row>
    <row r="15" spans="1:7" x14ac:dyDescent="0.25">
      <c r="A15" s="89" t="s">
        <v>404</v>
      </c>
      <c r="B15" s="198">
        <v>750000</v>
      </c>
      <c r="C15" s="198">
        <v>750000</v>
      </c>
      <c r="D15" s="732">
        <f>C15</f>
        <v>750000</v>
      </c>
      <c r="E15" s="199">
        <f t="shared" si="0"/>
        <v>0</v>
      </c>
    </row>
    <row r="16" spans="1:7" x14ac:dyDescent="0.25">
      <c r="A16" s="89" t="s">
        <v>405</v>
      </c>
      <c r="B16" s="198">
        <v>4500000</v>
      </c>
      <c r="C16" s="198">
        <v>4500000</v>
      </c>
      <c r="D16" s="732">
        <f>C16</f>
        <v>4500000</v>
      </c>
      <c r="E16" s="199">
        <f t="shared" si="0"/>
        <v>0</v>
      </c>
    </row>
    <row r="17" spans="1:7" x14ac:dyDescent="0.25">
      <c r="A17" s="89" t="s">
        <v>406</v>
      </c>
      <c r="B17" s="198">
        <v>2500000</v>
      </c>
      <c r="C17" s="198">
        <v>2500000</v>
      </c>
      <c r="D17" s="732">
        <f>C17</f>
        <v>2500000</v>
      </c>
      <c r="E17" s="199">
        <f t="shared" si="0"/>
        <v>0</v>
      </c>
    </row>
    <row r="18" spans="1:7" x14ac:dyDescent="0.25">
      <c r="A18" s="89" t="s">
        <v>409</v>
      </c>
      <c r="B18" s="198">
        <v>0</v>
      </c>
      <c r="C18" s="198">
        <v>0</v>
      </c>
      <c r="D18" s="732">
        <v>0</v>
      </c>
      <c r="E18" s="199">
        <f t="shared" si="0"/>
        <v>0</v>
      </c>
    </row>
    <row r="19" spans="1:7" x14ac:dyDescent="0.25">
      <c r="A19" s="89" t="s">
        <v>407</v>
      </c>
      <c r="B19" s="198">
        <v>3500000</v>
      </c>
      <c r="C19" s="198">
        <v>3500000</v>
      </c>
      <c r="D19" s="732">
        <f t="shared" ref="D19:D27" si="1">C19</f>
        <v>3500000</v>
      </c>
      <c r="E19" s="199">
        <f t="shared" si="0"/>
        <v>0</v>
      </c>
    </row>
    <row r="20" spans="1:7" x14ac:dyDescent="0.25">
      <c r="A20" s="89" t="s">
        <v>408</v>
      </c>
      <c r="B20" s="198">
        <v>2885000</v>
      </c>
      <c r="C20" s="198">
        <v>2885000</v>
      </c>
      <c r="D20" s="732">
        <f t="shared" si="1"/>
        <v>2885000</v>
      </c>
      <c r="E20" s="199">
        <f t="shared" si="0"/>
        <v>0</v>
      </c>
    </row>
    <row r="21" spans="1:7" s="213" customFormat="1" ht="31.5" x14ac:dyDescent="0.25">
      <c r="A21" s="211" t="s">
        <v>410</v>
      </c>
      <c r="B21" s="212">
        <v>2000000</v>
      </c>
      <c r="C21" s="212">
        <f>B21+275000</f>
        <v>2275000</v>
      </c>
      <c r="D21" s="732">
        <f t="shared" si="1"/>
        <v>2275000</v>
      </c>
      <c r="E21" s="199">
        <f t="shared" si="0"/>
        <v>0</v>
      </c>
      <c r="F21" s="197"/>
    </row>
    <row r="22" spans="1:7" s="213" customFormat="1" x14ac:dyDescent="0.25">
      <c r="A22" s="211" t="s">
        <v>411</v>
      </c>
      <c r="B22" s="212">
        <v>5500000</v>
      </c>
      <c r="C22" s="212">
        <f>B22+273800</f>
        <v>5773800</v>
      </c>
      <c r="D22" s="734">
        <f t="shared" si="1"/>
        <v>5773800</v>
      </c>
      <c r="E22" s="199">
        <f t="shared" si="0"/>
        <v>0</v>
      </c>
      <c r="F22" s="197"/>
    </row>
    <row r="23" spans="1:7" x14ac:dyDescent="0.25">
      <c r="A23" s="89" t="s">
        <v>412</v>
      </c>
      <c r="B23" s="198">
        <v>300000</v>
      </c>
      <c r="C23" s="198">
        <v>300000</v>
      </c>
      <c r="D23" s="732">
        <f t="shared" si="1"/>
        <v>300000</v>
      </c>
      <c r="E23" s="199">
        <f t="shared" si="0"/>
        <v>0</v>
      </c>
    </row>
    <row r="24" spans="1:7" x14ac:dyDescent="0.25">
      <c r="A24" s="89" t="s">
        <v>413</v>
      </c>
      <c r="B24" s="198">
        <v>120000</v>
      </c>
      <c r="C24" s="198">
        <v>120000</v>
      </c>
      <c r="D24" s="732">
        <f t="shared" si="1"/>
        <v>120000</v>
      </c>
      <c r="E24" s="199">
        <f t="shared" si="0"/>
        <v>0</v>
      </c>
    </row>
    <row r="25" spans="1:7" s="213" customFormat="1" ht="31.5" x14ac:dyDescent="0.25">
      <c r="A25" s="211" t="s">
        <v>414</v>
      </c>
      <c r="B25" s="212">
        <v>5100000</v>
      </c>
      <c r="C25" s="212">
        <f>B25+162213+40500</f>
        <v>5302713</v>
      </c>
      <c r="D25" s="734">
        <f>C25+123000</f>
        <v>5425713</v>
      </c>
      <c r="E25" s="199">
        <f t="shared" si="0"/>
        <v>123000</v>
      </c>
      <c r="F25" s="197" t="s">
        <v>576</v>
      </c>
    </row>
    <row r="26" spans="1:7" x14ac:dyDescent="0.25">
      <c r="A26" s="89" t="s">
        <v>415</v>
      </c>
      <c r="B26" s="198">
        <v>1400000</v>
      </c>
      <c r="C26" s="198">
        <v>1400000</v>
      </c>
      <c r="D26" s="732">
        <f t="shared" si="1"/>
        <v>1400000</v>
      </c>
      <c r="E26" s="199">
        <f t="shared" si="0"/>
        <v>0</v>
      </c>
    </row>
    <row r="27" spans="1:7" x14ac:dyDescent="0.25">
      <c r="A27" s="89" t="s">
        <v>454</v>
      </c>
      <c r="B27" s="198">
        <v>1000</v>
      </c>
      <c r="C27" s="198">
        <v>1000</v>
      </c>
      <c r="D27" s="198">
        <f t="shared" si="1"/>
        <v>1000</v>
      </c>
      <c r="E27" s="199">
        <f t="shared" si="0"/>
        <v>0</v>
      </c>
    </row>
    <row r="28" spans="1:7" x14ac:dyDescent="0.25">
      <c r="A28" s="89" t="s">
        <v>416</v>
      </c>
      <c r="B28" s="198">
        <v>400000</v>
      </c>
      <c r="C28" s="198">
        <v>400000</v>
      </c>
      <c r="D28" s="198">
        <f>C28+530000</f>
        <v>930000</v>
      </c>
      <c r="E28" s="199">
        <f>D28-C28</f>
        <v>530000</v>
      </c>
    </row>
    <row r="29" spans="1:7" ht="32.25" thickBot="1" x14ac:dyDescent="0.3">
      <c r="A29" s="741" t="s">
        <v>568</v>
      </c>
      <c r="B29" s="742">
        <v>0</v>
      </c>
      <c r="C29" s="742">
        <v>0</v>
      </c>
      <c r="D29" s="742">
        <v>530000</v>
      </c>
      <c r="E29" s="743">
        <f>D29-C29</f>
        <v>530000</v>
      </c>
    </row>
    <row r="30" spans="1:7" ht="16.5" thickBot="1" x14ac:dyDescent="0.3"/>
    <row r="31" spans="1:7" x14ac:dyDescent="0.25">
      <c r="A31" s="33" t="s">
        <v>560</v>
      </c>
      <c r="B31" s="205"/>
      <c r="C31" s="205"/>
      <c r="D31" s="735"/>
      <c r="E31" s="206"/>
    </row>
    <row r="32" spans="1:7" ht="31.5" x14ac:dyDescent="0.25">
      <c r="A32" s="35" t="s">
        <v>393</v>
      </c>
      <c r="B32" s="198">
        <f>'4. sz. tábla'!B5</f>
        <v>12458749</v>
      </c>
      <c r="C32" s="198">
        <f>'4. sz. tábla'!C5</f>
        <v>12379849</v>
      </c>
      <c r="D32" s="198">
        <f>'4. sz. tábla'!D5</f>
        <v>11950135</v>
      </c>
      <c r="E32" s="199">
        <f>D32-C32</f>
        <v>-429714</v>
      </c>
      <c r="G32" s="202"/>
    </row>
    <row r="33" spans="1:5" ht="31.5" x14ac:dyDescent="0.25">
      <c r="A33" s="35" t="s">
        <v>387</v>
      </c>
      <c r="B33" s="198">
        <f>'4. sz. tábla'!B15</f>
        <v>644000</v>
      </c>
      <c r="C33" s="198">
        <f>'4. sz. tábla'!C15</f>
        <v>830000</v>
      </c>
      <c r="D33" s="198">
        <f>'4. sz. tábla'!D15</f>
        <v>300000</v>
      </c>
      <c r="E33" s="199">
        <f>D33-C33</f>
        <v>-530000</v>
      </c>
    </row>
    <row r="34" spans="1:5" ht="32.25" thickBot="1" x14ac:dyDescent="0.3">
      <c r="A34" s="35" t="s">
        <v>394</v>
      </c>
      <c r="B34" s="198">
        <v>0</v>
      </c>
      <c r="C34" s="198">
        <v>27813</v>
      </c>
      <c r="D34" s="198">
        <v>27813</v>
      </c>
      <c r="E34" s="199">
        <f>D34-C34</f>
        <v>0</v>
      </c>
    </row>
    <row r="35" spans="1:5" ht="16.5" thickBot="1" x14ac:dyDescent="0.3">
      <c r="A35" s="195" t="s">
        <v>395</v>
      </c>
      <c r="B35" s="207">
        <f>SUM(B32:B34)</f>
        <v>13102749</v>
      </c>
      <c r="C35" s="207">
        <f>SUM(C32:C34)</f>
        <v>13237662</v>
      </c>
      <c r="D35" s="207">
        <f>SUM(D32:D34)</f>
        <v>12277948</v>
      </c>
      <c r="E35" s="208">
        <f>SUM(E32:E34)</f>
        <v>-959714</v>
      </c>
    </row>
    <row r="36" spans="1:5" ht="14.25" customHeight="1" thickBot="1" x14ac:dyDescent="0.3"/>
    <row r="37" spans="1:5" x14ac:dyDescent="0.25">
      <c r="A37" s="88" t="s">
        <v>396</v>
      </c>
      <c r="B37" s="205"/>
      <c r="C37" s="205"/>
      <c r="D37" s="735"/>
      <c r="E37" s="206"/>
    </row>
    <row r="38" spans="1:5" x14ac:dyDescent="0.25">
      <c r="A38" s="34" t="s">
        <v>109</v>
      </c>
      <c r="B38" s="198"/>
      <c r="C38" s="198"/>
      <c r="D38" s="732"/>
      <c r="E38" s="199"/>
    </row>
    <row r="39" spans="1:5" x14ac:dyDescent="0.25">
      <c r="A39" s="34" t="s">
        <v>110</v>
      </c>
      <c r="B39" s="198"/>
      <c r="C39" s="198"/>
      <c r="D39" s="732"/>
      <c r="E39" s="199"/>
    </row>
    <row r="40" spans="1:5" ht="31.5" x14ac:dyDescent="0.25">
      <c r="A40" s="34" t="s">
        <v>505</v>
      </c>
      <c r="B40" s="198">
        <f>3665000-734000</f>
        <v>2931000</v>
      </c>
      <c r="C40" s="198">
        <v>2931000</v>
      </c>
      <c r="D40" s="198">
        <f>2931000-300000</f>
        <v>2631000</v>
      </c>
      <c r="E40" s="199">
        <f>D40-C40</f>
        <v>-300000</v>
      </c>
    </row>
    <row r="41" spans="1:5" x14ac:dyDescent="0.25">
      <c r="A41" s="34" t="s">
        <v>240</v>
      </c>
      <c r="B41" s="198"/>
      <c r="C41" s="198"/>
      <c r="D41" s="732"/>
      <c r="E41" s="199"/>
    </row>
    <row r="42" spans="1:5" x14ac:dyDescent="0.25">
      <c r="A42" s="34" t="s">
        <v>438</v>
      </c>
      <c r="B42" s="198"/>
      <c r="C42" s="198"/>
      <c r="D42" s="732"/>
      <c r="E42" s="199"/>
    </row>
    <row r="43" spans="1:5" x14ac:dyDescent="0.25">
      <c r="A43" s="34" t="s">
        <v>111</v>
      </c>
      <c r="B43" s="198">
        <v>100000</v>
      </c>
      <c r="C43" s="198">
        <v>100000</v>
      </c>
      <c r="D43" s="198">
        <v>100000</v>
      </c>
      <c r="E43" s="199"/>
    </row>
    <row r="44" spans="1:5" x14ac:dyDescent="0.25">
      <c r="A44" s="34" t="s">
        <v>112</v>
      </c>
      <c r="B44" s="198"/>
      <c r="C44" s="198"/>
      <c r="D44" s="732"/>
      <c r="E44" s="199"/>
    </row>
    <row r="45" spans="1:5" x14ac:dyDescent="0.25">
      <c r="A45" s="34" t="s">
        <v>397</v>
      </c>
      <c r="B45" s="198"/>
      <c r="C45" s="198"/>
      <c r="D45" s="732"/>
      <c r="E45" s="199"/>
    </row>
    <row r="46" spans="1:5" x14ac:dyDescent="0.25">
      <c r="A46" s="34" t="s">
        <v>455</v>
      </c>
      <c r="B46" s="209">
        <v>342000</v>
      </c>
      <c r="C46" s="209">
        <v>342000</v>
      </c>
      <c r="D46" s="209">
        <v>342000</v>
      </c>
      <c r="E46" s="210"/>
    </row>
    <row r="47" spans="1:5" ht="32.25" thickBot="1" x14ac:dyDescent="0.3">
      <c r="A47" s="196" t="s">
        <v>417</v>
      </c>
      <c r="B47" s="203">
        <v>577000</v>
      </c>
      <c r="C47" s="203">
        <v>577000</v>
      </c>
      <c r="D47" s="203">
        <v>0</v>
      </c>
      <c r="E47" s="204">
        <f>D47-C47</f>
        <v>-577000</v>
      </c>
    </row>
    <row r="48" spans="1:5" ht="16.5" thickBot="1" x14ac:dyDescent="0.3">
      <c r="A48" s="195" t="s">
        <v>398</v>
      </c>
      <c r="B48" s="207">
        <f>SUM(B38:B47)</f>
        <v>3950000</v>
      </c>
      <c r="C48" s="207">
        <f>SUM(C38:C47)</f>
        <v>3950000</v>
      </c>
      <c r="D48" s="207">
        <f>SUM(D38:D47)</f>
        <v>3073000</v>
      </c>
      <c r="E48" s="207">
        <f>SUM(E38:E47)</f>
        <v>-877000</v>
      </c>
    </row>
    <row r="49" spans="1:5" ht="16.5" thickBot="1" x14ac:dyDescent="0.3"/>
    <row r="50" spans="1:5" ht="16.5" thickBot="1" x14ac:dyDescent="0.3">
      <c r="A50" s="195" t="s">
        <v>399</v>
      </c>
      <c r="B50" s="207">
        <f>B7+B8+B9+B35+B48</f>
        <v>68631499</v>
      </c>
      <c r="C50" s="207">
        <f>C7+C8+C9+C35+C48</f>
        <v>71356870</v>
      </c>
      <c r="D50" s="207">
        <f>D7+D8+D9+D35+D48</f>
        <v>71237695</v>
      </c>
      <c r="E50" s="208">
        <f>E7+E8+E9+E35+E48</f>
        <v>-119175</v>
      </c>
    </row>
  </sheetData>
  <sheetProtection selectLockedCells="1" selectUnlockedCells="1"/>
  <mergeCells count="1">
    <mergeCell ref="A2:E3"/>
  </mergeCells>
  <phoneticPr fontId="21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73" firstPageNumber="0" orientation="portrait" r:id="rId1"/>
  <headerFooter alignWithMargins="0">
    <oddHeader>&amp;C&amp;"Times New Roman,Félkövér"&amp;12 3. melléklet a 11/2017. (IX. 29.) önkormányzati rendelethez
Az önkormányzat 2017. évi költségvetéséről szóló 2/2017. (II. 15.) önkormányzati rendelet 3. mellékletének helyébe a következő 3. melléklet lép: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92"/>
  <sheetViews>
    <sheetView view="pageLayout" zoomScaleNormal="100" zoomScaleSheetLayoutView="80" workbookViewId="0">
      <selection sqref="A1:E1"/>
    </sheetView>
  </sheetViews>
  <sheetFormatPr defaultColWidth="9.140625" defaultRowHeight="15.75" customHeight="1" x14ac:dyDescent="0.25"/>
  <cols>
    <col min="1" max="1" width="56.7109375" style="158" customWidth="1"/>
    <col min="2" max="2" width="13.7109375" style="159" customWidth="1"/>
    <col min="3" max="3" width="14.42578125" style="160" bestFit="1" customWidth="1"/>
    <col min="4" max="4" width="14.42578125" style="160" customWidth="1"/>
    <col min="5" max="5" width="13.7109375" style="160" customWidth="1"/>
    <col min="6" max="6" width="10.28515625" style="159" customWidth="1"/>
    <col min="7" max="7" width="16.85546875" style="159" customWidth="1"/>
    <col min="8" max="8" width="15.7109375" style="159" customWidth="1"/>
    <col min="9" max="9" width="11.42578125" style="159" customWidth="1"/>
    <col min="10" max="10" width="11" style="159" customWidth="1"/>
    <col min="11" max="11" width="13.7109375" style="159" customWidth="1"/>
    <col min="12" max="12" width="16.28515625" style="159" customWidth="1"/>
    <col min="13" max="13" width="14.28515625" style="159" customWidth="1"/>
    <col min="14" max="14" width="13" style="159" customWidth="1"/>
    <col min="15" max="15" width="14.140625" style="159" customWidth="1"/>
    <col min="16" max="16" width="13.5703125" style="159" customWidth="1"/>
    <col min="17" max="16384" width="9.140625" style="159"/>
  </cols>
  <sheetData>
    <row r="1" spans="1:5" ht="39" customHeight="1" x14ac:dyDescent="0.25">
      <c r="A1" s="848" t="s">
        <v>543</v>
      </c>
      <c r="B1" s="848"/>
      <c r="C1" s="848"/>
      <c r="D1" s="848"/>
      <c r="E1" s="848"/>
    </row>
    <row r="3" spans="1:5" ht="15.75" customHeight="1" thickBot="1" x14ac:dyDescent="0.3"/>
    <row r="4" spans="1:5" s="141" customFormat="1" ht="63.75" customHeight="1" thickBot="1" x14ac:dyDescent="0.25">
      <c r="A4" s="90" t="s">
        <v>234</v>
      </c>
      <c r="B4" s="161" t="s">
        <v>529</v>
      </c>
      <c r="C4" s="139" t="s">
        <v>530</v>
      </c>
      <c r="D4" s="721" t="s">
        <v>549</v>
      </c>
      <c r="E4" s="140" t="s">
        <v>531</v>
      </c>
    </row>
    <row r="5" spans="1:5" s="141" customFormat="1" x14ac:dyDescent="0.2">
      <c r="A5" s="142" t="s">
        <v>456</v>
      </c>
      <c r="B5" s="162">
        <f>SUM(B6:B13)</f>
        <v>12458749</v>
      </c>
      <c r="C5" s="162">
        <f>SUM(C6:C13)</f>
        <v>12379849</v>
      </c>
      <c r="D5" s="162">
        <f>SUM(D6:D14)</f>
        <v>11950135</v>
      </c>
      <c r="E5" s="427">
        <f>SUM(E6:E14)</f>
        <v>-429714</v>
      </c>
    </row>
    <row r="6" spans="1:5" s="141" customFormat="1" ht="18" customHeight="1" x14ac:dyDescent="0.25">
      <c r="A6" s="163" t="s">
        <v>457</v>
      </c>
      <c r="B6" s="164">
        <v>5749970</v>
      </c>
      <c r="C6" s="164">
        <f>B6-78900</f>
        <v>5671070</v>
      </c>
      <c r="D6" s="722">
        <v>4815973</v>
      </c>
      <c r="E6" s="428">
        <f>D6-C6</f>
        <v>-855097</v>
      </c>
    </row>
    <row r="7" spans="1:5" s="141" customFormat="1" ht="18" customHeight="1" x14ac:dyDescent="0.25">
      <c r="A7" s="165" t="s">
        <v>458</v>
      </c>
      <c r="B7" s="164">
        <v>5708779</v>
      </c>
      <c r="C7" s="164">
        <v>5708779</v>
      </c>
      <c r="D7" s="722">
        <v>5708779</v>
      </c>
      <c r="E7" s="143">
        <f>D7-C7</f>
        <v>0</v>
      </c>
    </row>
    <row r="8" spans="1:5" s="141" customFormat="1" ht="18" customHeight="1" x14ac:dyDescent="0.25">
      <c r="A8" s="165" t="s">
        <v>459</v>
      </c>
      <c r="B8" s="164"/>
      <c r="C8" s="144"/>
      <c r="D8" s="723"/>
      <c r="E8" s="143"/>
    </row>
    <row r="9" spans="1:5" s="141" customFormat="1" x14ac:dyDescent="0.25">
      <c r="A9" s="163" t="s">
        <v>460</v>
      </c>
      <c r="B9" s="145"/>
      <c r="C9" s="144"/>
      <c r="D9" s="723"/>
      <c r="E9" s="143"/>
    </row>
    <row r="10" spans="1:5" ht="16.5" customHeight="1" x14ac:dyDescent="0.25">
      <c r="A10" s="166" t="s">
        <v>461</v>
      </c>
      <c r="B10" s="164"/>
      <c r="C10" s="167"/>
      <c r="D10" s="724"/>
      <c r="E10" s="168"/>
    </row>
    <row r="11" spans="1:5" ht="31.5" x14ac:dyDescent="0.25">
      <c r="A11" s="163" t="s">
        <v>526</v>
      </c>
      <c r="B11" s="722">
        <v>1000000</v>
      </c>
      <c r="C11" s="722">
        <v>1000000</v>
      </c>
      <c r="D11" s="722">
        <v>1000000</v>
      </c>
      <c r="E11" s="168">
        <f>D11-C11</f>
        <v>0</v>
      </c>
    </row>
    <row r="12" spans="1:5" ht="16.5" customHeight="1" x14ac:dyDescent="0.25">
      <c r="A12" s="166" t="s">
        <v>462</v>
      </c>
      <c r="B12" s="164"/>
      <c r="C12" s="167"/>
      <c r="D12" s="722"/>
      <c r="E12" s="428"/>
    </row>
    <row r="13" spans="1:5" ht="16.5" customHeight="1" x14ac:dyDescent="0.25">
      <c r="A13" s="166" t="s">
        <v>575</v>
      </c>
      <c r="B13" s="164"/>
      <c r="C13" s="167"/>
      <c r="D13" s="722">
        <v>300000</v>
      </c>
      <c r="E13" s="428">
        <f>D13-C13</f>
        <v>300000</v>
      </c>
    </row>
    <row r="14" spans="1:5" ht="16.5" customHeight="1" x14ac:dyDescent="0.25">
      <c r="A14" s="166" t="s">
        <v>569</v>
      </c>
      <c r="B14" s="164"/>
      <c r="C14" s="167"/>
      <c r="D14" s="722">
        <v>125383</v>
      </c>
      <c r="E14" s="428">
        <f>D14-C14</f>
        <v>125383</v>
      </c>
    </row>
    <row r="15" spans="1:5" ht="16.5" customHeight="1" x14ac:dyDescent="0.25">
      <c r="A15" s="146" t="s">
        <v>463</v>
      </c>
      <c r="B15" s="169">
        <f>B16+B27+B20</f>
        <v>644000</v>
      </c>
      <c r="C15" s="169">
        <f>B15+186000</f>
        <v>830000</v>
      </c>
      <c r="D15" s="169">
        <f>C15-C27</f>
        <v>300000</v>
      </c>
      <c r="E15" s="429">
        <f>D15-C15</f>
        <v>-530000</v>
      </c>
    </row>
    <row r="16" spans="1:5" s="173" customFormat="1" ht="16.5" customHeight="1" x14ac:dyDescent="0.25">
      <c r="A16" s="170" t="s">
        <v>464</v>
      </c>
      <c r="B16" s="171">
        <v>300000</v>
      </c>
      <c r="C16" s="171">
        <f>B16-50000-20000</f>
        <v>230000</v>
      </c>
      <c r="D16" s="171">
        <f>C16</f>
        <v>230000</v>
      </c>
      <c r="E16" s="172"/>
    </row>
    <row r="17" spans="1:7" ht="16.5" customHeight="1" x14ac:dyDescent="0.25">
      <c r="A17" s="174" t="s">
        <v>465</v>
      </c>
      <c r="B17" s="164"/>
      <c r="C17" s="167"/>
      <c r="D17" s="724"/>
      <c r="E17" s="168"/>
    </row>
    <row r="18" spans="1:7" ht="16.5" customHeight="1" x14ac:dyDescent="0.25">
      <c r="A18" s="174" t="s">
        <v>466</v>
      </c>
      <c r="B18" s="164"/>
      <c r="C18" s="167"/>
      <c r="D18" s="724"/>
      <c r="E18" s="168"/>
    </row>
    <row r="19" spans="1:7" x14ac:dyDescent="0.25">
      <c r="A19" s="174" t="s">
        <v>467</v>
      </c>
      <c r="B19" s="164"/>
      <c r="C19" s="167"/>
      <c r="D19" s="724"/>
      <c r="E19" s="168"/>
    </row>
    <row r="20" spans="1:7" ht="16.5" customHeight="1" x14ac:dyDescent="0.25">
      <c r="A20" s="174" t="s">
        <v>473</v>
      </c>
      <c r="B20" s="164">
        <v>0</v>
      </c>
      <c r="C20" s="167">
        <v>20000</v>
      </c>
      <c r="D20" s="724">
        <v>20000</v>
      </c>
      <c r="E20" s="168"/>
    </row>
    <row r="21" spans="1:7" ht="16.5" customHeight="1" x14ac:dyDescent="0.25">
      <c r="A21" s="174" t="s">
        <v>468</v>
      </c>
      <c r="B21" s="164"/>
      <c r="C21" s="167"/>
      <c r="D21" s="724"/>
      <c r="E21" s="168"/>
    </row>
    <row r="22" spans="1:7" ht="16.5" customHeight="1" x14ac:dyDescent="0.25">
      <c r="A22" s="174" t="s">
        <v>469</v>
      </c>
      <c r="B22" s="164"/>
      <c r="C22" s="167"/>
      <c r="D22" s="724"/>
      <c r="E22" s="168"/>
      <c r="G22" s="175"/>
    </row>
    <row r="23" spans="1:7" ht="16.5" customHeight="1" x14ac:dyDescent="0.25">
      <c r="A23" s="163" t="s">
        <v>470</v>
      </c>
      <c r="B23" s="164"/>
      <c r="C23" s="167"/>
      <c r="D23" s="724"/>
      <c r="E23" s="168"/>
    </row>
    <row r="24" spans="1:7" ht="16.5" customHeight="1" x14ac:dyDescent="0.25">
      <c r="A24" s="163" t="s">
        <v>532</v>
      </c>
      <c r="B24" s="164">
        <v>0</v>
      </c>
      <c r="C24" s="167">
        <v>50000</v>
      </c>
      <c r="D24" s="724">
        <v>50000</v>
      </c>
      <c r="E24" s="168"/>
    </row>
    <row r="25" spans="1:7" ht="16.5" customHeight="1" x14ac:dyDescent="0.25">
      <c r="A25" s="174" t="s">
        <v>471</v>
      </c>
      <c r="B25" s="164"/>
      <c r="C25" s="167"/>
      <c r="D25" s="724"/>
      <c r="E25" s="168"/>
    </row>
    <row r="26" spans="1:7" ht="16.5" customHeight="1" x14ac:dyDescent="0.25">
      <c r="A26" s="174"/>
      <c r="B26" s="164"/>
      <c r="C26" s="167"/>
      <c r="D26" s="724"/>
      <c r="E26" s="168"/>
    </row>
    <row r="27" spans="1:7" s="173" customFormat="1" ht="15" customHeight="1" x14ac:dyDescent="0.25">
      <c r="A27" s="176" t="s">
        <v>472</v>
      </c>
      <c r="B27" s="177">
        <v>344000</v>
      </c>
      <c r="C27" s="178">
        <f>B27+186000</f>
        <v>530000</v>
      </c>
      <c r="D27" s="725">
        <v>0</v>
      </c>
      <c r="E27" s="172">
        <f>D27-C27</f>
        <v>-530000</v>
      </c>
    </row>
    <row r="28" spans="1:7" ht="15" customHeight="1" thickBot="1" x14ac:dyDescent="0.3">
      <c r="A28" s="179"/>
      <c r="B28" s="180"/>
      <c r="C28" s="181"/>
      <c r="D28" s="726"/>
      <c r="E28" s="182"/>
    </row>
    <row r="29" spans="1:7" ht="15" customHeight="1" thickBot="1" x14ac:dyDescent="0.3">
      <c r="A29" s="147" t="s">
        <v>103</v>
      </c>
      <c r="B29" s="183">
        <f>B15+B5</f>
        <v>13102749</v>
      </c>
      <c r="C29" s="183">
        <f>C15+C5</f>
        <v>13209849</v>
      </c>
      <c r="D29" s="183">
        <f>D15+D5</f>
        <v>12250135</v>
      </c>
      <c r="E29" s="184">
        <f>E15+E5</f>
        <v>-959714</v>
      </c>
    </row>
    <row r="30" spans="1:7" ht="15" customHeight="1" x14ac:dyDescent="0.25">
      <c r="A30" s="185"/>
      <c r="B30" s="148"/>
    </row>
    <row r="31" spans="1:7" ht="16.5" customHeight="1" x14ac:dyDescent="0.25">
      <c r="A31" s="185"/>
      <c r="B31" s="148"/>
    </row>
    <row r="32" spans="1:7" ht="16.5" customHeight="1" x14ac:dyDescent="0.25">
      <c r="A32" s="185"/>
      <c r="B32" s="148"/>
    </row>
    <row r="33" spans="1:2" ht="16.5" customHeight="1" x14ac:dyDescent="0.25">
      <c r="A33" s="185"/>
      <c r="B33" s="148"/>
    </row>
    <row r="34" spans="1:2" ht="16.5" customHeight="1" x14ac:dyDescent="0.25">
      <c r="A34" s="185"/>
      <c r="B34" s="148"/>
    </row>
    <row r="35" spans="1:2" ht="16.5" customHeight="1" x14ac:dyDescent="0.25">
      <c r="A35" s="185"/>
      <c r="B35" s="148"/>
    </row>
    <row r="36" spans="1:2" ht="16.5" customHeight="1" x14ac:dyDescent="0.25">
      <c r="A36" s="185"/>
      <c r="B36" s="148"/>
    </row>
    <row r="37" spans="1:2" ht="16.5" customHeight="1" x14ac:dyDescent="0.25">
      <c r="A37" s="185"/>
      <c r="B37" s="148"/>
    </row>
    <row r="38" spans="1:2" ht="16.5" customHeight="1" x14ac:dyDescent="0.25">
      <c r="A38" s="185"/>
      <c r="B38" s="148"/>
    </row>
    <row r="39" spans="1:2" ht="27.75" customHeight="1" x14ac:dyDescent="0.25">
      <c r="A39" s="185"/>
      <c r="B39" s="148"/>
    </row>
    <row r="40" spans="1:2" ht="29.25" customHeight="1" x14ac:dyDescent="0.25">
      <c r="A40" s="185"/>
      <c r="B40" s="148"/>
    </row>
    <row r="41" spans="1:2" ht="16.5" customHeight="1" x14ac:dyDescent="0.25">
      <c r="A41" s="185"/>
      <c r="B41" s="148"/>
    </row>
    <row r="42" spans="1:2" ht="16.5" customHeight="1" x14ac:dyDescent="0.25">
      <c r="A42" s="185"/>
      <c r="B42" s="148"/>
    </row>
    <row r="43" spans="1:2" ht="21" customHeight="1" x14ac:dyDescent="0.25">
      <c r="A43" s="185"/>
      <c r="B43" s="148"/>
    </row>
    <row r="44" spans="1:2" ht="16.5" customHeight="1" x14ac:dyDescent="0.25">
      <c r="A44" s="185"/>
      <c r="B44" s="148"/>
    </row>
    <row r="45" spans="1:2" ht="16.5" customHeight="1" x14ac:dyDescent="0.25">
      <c r="A45" s="185"/>
      <c r="B45" s="148"/>
    </row>
    <row r="46" spans="1:2" ht="18.75" customHeight="1" x14ac:dyDescent="0.25">
      <c r="A46" s="185"/>
      <c r="B46" s="148"/>
    </row>
    <row r="47" spans="1:2" ht="16.5" customHeight="1" x14ac:dyDescent="0.25">
      <c r="A47" s="185"/>
      <c r="B47" s="148"/>
    </row>
    <row r="48" spans="1:2" ht="18" customHeight="1" x14ac:dyDescent="0.25">
      <c r="A48" s="185"/>
      <c r="B48" s="148"/>
    </row>
    <row r="49" spans="1:4" ht="30" customHeight="1" x14ac:dyDescent="0.25">
      <c r="A49" s="186"/>
      <c r="B49" s="148"/>
    </row>
    <row r="50" spans="1:4" ht="17.25" customHeight="1" x14ac:dyDescent="0.25">
      <c r="A50" s="185"/>
      <c r="B50" s="148"/>
    </row>
    <row r="51" spans="1:4" ht="17.25" customHeight="1" x14ac:dyDescent="0.25">
      <c r="A51" s="185"/>
      <c r="B51" s="149"/>
    </row>
    <row r="52" spans="1:4" ht="17.25" customHeight="1" x14ac:dyDescent="0.25">
      <c r="A52" s="185"/>
      <c r="B52" s="149"/>
    </row>
    <row r="53" spans="1:4" s="141" customFormat="1" ht="63.75" customHeight="1" x14ac:dyDescent="0.2">
      <c r="A53" s="150"/>
      <c r="B53" s="136"/>
      <c r="C53" s="151"/>
      <c r="D53" s="151"/>
    </row>
    <row r="54" spans="1:4" ht="29.25" customHeight="1" x14ac:dyDescent="0.25">
      <c r="A54" s="186"/>
      <c r="B54" s="148"/>
    </row>
    <row r="55" spans="1:4" ht="19.5" customHeight="1" x14ac:dyDescent="0.25">
      <c r="A55" s="186"/>
      <c r="B55" s="148"/>
    </row>
    <row r="56" spans="1:4" ht="18" customHeight="1" x14ac:dyDescent="0.25">
      <c r="A56" s="185"/>
      <c r="B56" s="148"/>
    </row>
    <row r="57" spans="1:4" ht="16.5" customHeight="1" x14ac:dyDescent="0.25">
      <c r="A57" s="186"/>
      <c r="B57" s="148"/>
    </row>
    <row r="58" spans="1:4" ht="18" customHeight="1" x14ac:dyDescent="0.25">
      <c r="A58" s="185"/>
      <c r="B58" s="148"/>
    </row>
    <row r="59" spans="1:4" ht="30" customHeight="1" x14ac:dyDescent="0.25">
      <c r="A59" s="186"/>
      <c r="B59" s="148"/>
    </row>
    <row r="60" spans="1:4" ht="18" customHeight="1" x14ac:dyDescent="0.25">
      <c r="A60" s="186"/>
      <c r="B60" s="148"/>
    </row>
    <row r="61" spans="1:4" ht="21" customHeight="1" x14ac:dyDescent="0.25">
      <c r="A61" s="32"/>
      <c r="B61" s="148"/>
    </row>
    <row r="62" spans="1:4" ht="18" customHeight="1" x14ac:dyDescent="0.25">
      <c r="A62" s="187"/>
      <c r="B62" s="148"/>
    </row>
    <row r="63" spans="1:4" x14ac:dyDescent="0.25">
      <c r="A63" s="187"/>
      <c r="B63" s="148"/>
    </row>
    <row r="64" spans="1:4" ht="15.75" customHeight="1" x14ac:dyDescent="0.25">
      <c r="A64" s="187"/>
      <c r="B64" s="148"/>
    </row>
    <row r="65" spans="1:2" ht="16.5" customHeight="1" x14ac:dyDescent="0.25">
      <c r="A65" s="187"/>
      <c r="B65" s="148"/>
    </row>
    <row r="66" spans="1:2" ht="18" customHeight="1" x14ac:dyDescent="0.25">
      <c r="A66" s="188"/>
      <c r="B66" s="148"/>
    </row>
    <row r="67" spans="1:2" ht="33" customHeight="1" x14ac:dyDescent="0.25">
      <c r="A67" s="187"/>
      <c r="B67" s="148"/>
    </row>
    <row r="68" spans="1:2" ht="15.75" customHeight="1" x14ac:dyDescent="0.25">
      <c r="A68" s="187"/>
      <c r="B68" s="148"/>
    </row>
    <row r="69" spans="1:2" ht="15.75" customHeight="1" x14ac:dyDescent="0.25">
      <c r="A69" s="187"/>
      <c r="B69" s="148"/>
    </row>
    <row r="70" spans="1:2" ht="15.75" customHeight="1" x14ac:dyDescent="0.25">
      <c r="A70" s="187"/>
      <c r="B70" s="148"/>
    </row>
    <row r="71" spans="1:2" ht="15.75" customHeight="1" x14ac:dyDescent="0.25">
      <c r="A71" s="187"/>
      <c r="B71" s="148"/>
    </row>
    <row r="72" spans="1:2" ht="15.75" customHeight="1" x14ac:dyDescent="0.25">
      <c r="A72" s="187"/>
      <c r="B72" s="148"/>
    </row>
    <row r="73" spans="1:2" ht="15.75" customHeight="1" x14ac:dyDescent="0.25">
      <c r="A73" s="187"/>
      <c r="B73" s="148"/>
    </row>
    <row r="74" spans="1:2" ht="15.75" customHeight="1" x14ac:dyDescent="0.25">
      <c r="A74" s="187"/>
      <c r="B74" s="148"/>
    </row>
    <row r="75" spans="1:2" ht="15.75" customHeight="1" x14ac:dyDescent="0.25">
      <c r="A75" s="187"/>
      <c r="B75" s="148"/>
    </row>
    <row r="76" spans="1:2" ht="15.75" customHeight="1" x14ac:dyDescent="0.25">
      <c r="A76" s="187"/>
      <c r="B76" s="148"/>
    </row>
    <row r="77" spans="1:2" ht="15.75" customHeight="1" x14ac:dyDescent="0.25">
      <c r="A77" s="187"/>
      <c r="B77" s="148"/>
    </row>
    <row r="78" spans="1:2" ht="15.75" customHeight="1" x14ac:dyDescent="0.25">
      <c r="A78" s="187"/>
      <c r="B78" s="148"/>
    </row>
    <row r="79" spans="1:2" ht="15.75" customHeight="1" x14ac:dyDescent="0.25">
      <c r="A79" s="187"/>
      <c r="B79" s="148"/>
    </row>
    <row r="80" spans="1:2" ht="15.75" customHeight="1" x14ac:dyDescent="0.25">
      <c r="A80" s="187"/>
      <c r="B80" s="148"/>
    </row>
    <row r="81" spans="1:5" ht="15.75" customHeight="1" x14ac:dyDescent="0.25">
      <c r="A81" s="187"/>
      <c r="B81" s="148"/>
    </row>
    <row r="82" spans="1:5" ht="15.75" customHeight="1" x14ac:dyDescent="0.25">
      <c r="A82" s="32"/>
      <c r="B82" s="148"/>
    </row>
    <row r="83" spans="1:5" ht="15.75" customHeight="1" x14ac:dyDescent="0.25">
      <c r="A83" s="32"/>
      <c r="B83" s="148"/>
    </row>
    <row r="84" spans="1:5" ht="15.75" customHeight="1" x14ac:dyDescent="0.25">
      <c r="A84" s="32"/>
      <c r="B84" s="148"/>
    </row>
    <row r="85" spans="1:5" ht="15.75" customHeight="1" x14ac:dyDescent="0.25">
      <c r="A85" s="32"/>
      <c r="B85" s="148"/>
    </row>
    <row r="86" spans="1:5" ht="15.75" customHeight="1" x14ac:dyDescent="0.25">
      <c r="A86" s="32"/>
      <c r="B86" s="148"/>
    </row>
    <row r="87" spans="1:5" ht="15.75" customHeight="1" x14ac:dyDescent="0.25">
      <c r="A87" s="32"/>
      <c r="B87" s="148"/>
    </row>
    <row r="88" spans="1:5" ht="15.75" customHeight="1" x14ac:dyDescent="0.25">
      <c r="A88" s="32"/>
      <c r="B88" s="148"/>
    </row>
    <row r="89" spans="1:5" ht="15.75" customHeight="1" x14ac:dyDescent="0.25">
      <c r="A89" s="32"/>
      <c r="B89" s="148"/>
    </row>
    <row r="90" spans="1:5" ht="15.75" customHeight="1" x14ac:dyDescent="0.25">
      <c r="A90" s="32"/>
      <c r="B90" s="148"/>
    </row>
    <row r="91" spans="1:5" s="190" customFormat="1" ht="20.25" customHeight="1" x14ac:dyDescent="0.25">
      <c r="A91" s="152"/>
      <c r="B91" s="153"/>
      <c r="C91" s="189"/>
      <c r="D91" s="189"/>
      <c r="E91" s="189"/>
    </row>
    <row r="92" spans="1:5" ht="20.25" customHeight="1" x14ac:dyDescent="0.25">
      <c r="A92" s="191"/>
    </row>
  </sheetData>
  <sheetProtection selectLockedCells="1" selectUnlockedCells="1"/>
  <mergeCells count="1">
    <mergeCell ref="A1:E1"/>
  </mergeCells>
  <phoneticPr fontId="21" type="noConversion"/>
  <printOptions horizontalCentered="1"/>
  <pageMargins left="0.23622047244094491" right="0.23622047244094491" top="1.4960629921259843" bottom="0.39370078740157483" header="0.82677165354330717" footer="0.51181102362204722"/>
  <pageSetup paperSize="9" scale="75" firstPageNumber="0" orientation="portrait" r:id="rId1"/>
  <headerFooter alignWithMargins="0">
    <oddHeader>&amp;C&amp;"Times New Roman,Félkövér"&amp;12 4. melléklet a 11/2017. (IX. 29.) önkormányzati rendelethez
Az önkormányzat 2017. évi költségvetéséről szóló 2/2017. (II. 15.) önkormányzati rendelet 4. mellékletének helyébe a következő 4. melléklet lép:</oddHeader>
  </headerFooter>
  <rowBreaks count="2" manualBreakCount="2">
    <brk id="50" max="3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70"/>
  <sheetViews>
    <sheetView view="pageLayout" topLeftCell="A13" zoomScaleNormal="75" zoomScaleSheetLayoutView="150" workbookViewId="0">
      <selection sqref="A1:E1"/>
    </sheetView>
  </sheetViews>
  <sheetFormatPr defaultColWidth="9.140625" defaultRowHeight="15.75" x14ac:dyDescent="0.25"/>
  <cols>
    <col min="1" max="1" width="34.7109375" style="100" customWidth="1"/>
    <col min="2" max="2" width="13.5703125" style="100" customWidth="1"/>
    <col min="3" max="3" width="12.28515625" style="100" customWidth="1"/>
    <col min="4" max="5" width="13.5703125" style="100" customWidth="1"/>
    <col min="6" max="6" width="9.140625" style="100"/>
    <col min="7" max="7" width="10.140625" style="100" bestFit="1" customWidth="1"/>
    <col min="8" max="8" width="13" style="100" customWidth="1"/>
    <col min="9" max="9" width="13.85546875" style="100" customWidth="1"/>
    <col min="10" max="10" width="11.42578125" style="100" customWidth="1"/>
    <col min="11" max="11" width="12" style="100" customWidth="1"/>
    <col min="12" max="12" width="12.5703125" style="100" customWidth="1"/>
    <col min="13" max="13" width="13.140625" style="100" customWidth="1"/>
    <col min="14" max="16384" width="9.140625" style="100"/>
  </cols>
  <sheetData>
    <row r="1" spans="1:5" ht="36" customHeight="1" x14ac:dyDescent="0.25">
      <c r="A1" s="849" t="s">
        <v>544</v>
      </c>
      <c r="B1" s="849"/>
      <c r="C1" s="849"/>
      <c r="D1" s="849"/>
      <c r="E1" s="849"/>
    </row>
    <row r="2" spans="1:5" ht="16.5" thickBot="1" x14ac:dyDescent="0.3"/>
    <row r="3" spans="1:5" ht="48" customHeight="1" thickBot="1" x14ac:dyDescent="0.3">
      <c r="A3" s="90" t="s">
        <v>234</v>
      </c>
      <c r="B3" s="91" t="s">
        <v>529</v>
      </c>
      <c r="C3" s="91" t="s">
        <v>530</v>
      </c>
      <c r="D3" s="699" t="s">
        <v>549</v>
      </c>
      <c r="E3" s="92" t="s">
        <v>531</v>
      </c>
    </row>
    <row r="4" spans="1:5" x14ac:dyDescent="0.25">
      <c r="A4" s="101" t="s">
        <v>474</v>
      </c>
      <c r="B4" s="102"/>
      <c r="C4" s="102"/>
      <c r="D4" s="700"/>
      <c r="E4" s="103"/>
    </row>
    <row r="5" spans="1:5" x14ac:dyDescent="0.25">
      <c r="A5" s="719" t="s">
        <v>550</v>
      </c>
      <c r="B5" s="105"/>
      <c r="C5" s="105"/>
      <c r="D5" s="701"/>
      <c r="E5" s="106"/>
    </row>
    <row r="6" spans="1:5" x14ac:dyDescent="0.25">
      <c r="A6" s="104" t="s">
        <v>561</v>
      </c>
      <c r="B6" s="105">
        <v>0</v>
      </c>
      <c r="C6" s="105">
        <v>36830</v>
      </c>
      <c r="D6" s="701">
        <v>36830</v>
      </c>
      <c r="E6" s="106">
        <f>D6-C6</f>
        <v>0</v>
      </c>
    </row>
    <row r="7" spans="1:5" x14ac:dyDescent="0.25">
      <c r="A7" s="104" t="s">
        <v>555</v>
      </c>
      <c r="B7" s="105">
        <v>0</v>
      </c>
      <c r="C7" s="105">
        <v>0</v>
      </c>
      <c r="D7" s="701">
        <v>1000000</v>
      </c>
      <c r="E7" s="106">
        <f>D7-C7</f>
        <v>1000000</v>
      </c>
    </row>
    <row r="8" spans="1:5" x14ac:dyDescent="0.25">
      <c r="A8" s="719" t="s">
        <v>551</v>
      </c>
      <c r="B8" s="105"/>
      <c r="C8" s="105"/>
      <c r="D8" s="701"/>
      <c r="E8" s="106"/>
    </row>
    <row r="9" spans="1:5" x14ac:dyDescent="0.25">
      <c r="A9" s="107" t="s">
        <v>513</v>
      </c>
      <c r="B9" s="105">
        <v>300000</v>
      </c>
      <c r="C9" s="105">
        <v>263170</v>
      </c>
      <c r="D9" s="701">
        <v>224435</v>
      </c>
      <c r="E9" s="106">
        <f t="shared" ref="E9:E16" si="0">D9-C9</f>
        <v>-38735</v>
      </c>
    </row>
    <row r="10" spans="1:5" x14ac:dyDescent="0.25">
      <c r="A10" s="720" t="s">
        <v>552</v>
      </c>
      <c r="B10" s="105"/>
      <c r="C10" s="105"/>
      <c r="D10" s="701"/>
      <c r="E10" s="106">
        <f t="shared" si="0"/>
        <v>0</v>
      </c>
    </row>
    <row r="11" spans="1:5" x14ac:dyDescent="0.25">
      <c r="A11" s="109" t="s">
        <v>512</v>
      </c>
      <c r="B11" s="105">
        <v>200000</v>
      </c>
      <c r="C11" s="105">
        <v>200000</v>
      </c>
      <c r="D11" s="701">
        <v>200000</v>
      </c>
      <c r="E11" s="106">
        <f>D11-C11</f>
        <v>0</v>
      </c>
    </row>
    <row r="12" spans="1:5" x14ac:dyDescent="0.25">
      <c r="A12" s="110" t="s">
        <v>515</v>
      </c>
      <c r="B12" s="111">
        <v>130000</v>
      </c>
      <c r="C12" s="111">
        <v>130000</v>
      </c>
      <c r="D12" s="702">
        <v>130000</v>
      </c>
      <c r="E12" s="106">
        <f>D12-C12</f>
        <v>0</v>
      </c>
    </row>
    <row r="13" spans="1:5" x14ac:dyDescent="0.25">
      <c r="A13" s="109" t="s">
        <v>514</v>
      </c>
      <c r="B13" s="105">
        <v>1500000</v>
      </c>
      <c r="C13" s="105">
        <v>1500000</v>
      </c>
      <c r="D13" s="701">
        <v>1500000</v>
      </c>
      <c r="E13" s="106">
        <f>D13-C13</f>
        <v>0</v>
      </c>
    </row>
    <row r="14" spans="1:5" x14ac:dyDescent="0.25">
      <c r="A14" s="109" t="s">
        <v>553</v>
      </c>
      <c r="B14" s="105">
        <v>300000</v>
      </c>
      <c r="C14" s="105">
        <f>B14+112522</f>
        <v>412522</v>
      </c>
      <c r="D14" s="701">
        <v>412522</v>
      </c>
      <c r="E14" s="106">
        <f>D14-C14</f>
        <v>0</v>
      </c>
    </row>
    <row r="15" spans="1:5" ht="31.5" x14ac:dyDescent="0.25">
      <c r="A15" s="107" t="s">
        <v>554</v>
      </c>
      <c r="B15" s="105">
        <v>0</v>
      </c>
      <c r="C15" s="105">
        <v>300000</v>
      </c>
      <c r="D15" s="701">
        <v>300000</v>
      </c>
      <c r="E15" s="106">
        <f t="shared" si="0"/>
        <v>0</v>
      </c>
    </row>
    <row r="16" spans="1:5" s="108" customFormat="1" ht="31.5" x14ac:dyDescent="0.25">
      <c r="A16" s="107" t="s">
        <v>563</v>
      </c>
      <c r="B16" s="105">
        <v>0</v>
      </c>
      <c r="C16" s="105">
        <v>0</v>
      </c>
      <c r="D16" s="701">
        <f>2222500</f>
        <v>2222500</v>
      </c>
      <c r="E16" s="106">
        <f t="shared" si="0"/>
        <v>2222500</v>
      </c>
    </row>
    <row r="17" spans="1:8" s="108" customFormat="1" ht="16.5" thickBot="1" x14ac:dyDescent="0.3">
      <c r="A17" s="728" t="s">
        <v>562</v>
      </c>
      <c r="B17" s="729">
        <v>0</v>
      </c>
      <c r="C17" s="729">
        <v>0</v>
      </c>
      <c r="D17" s="730">
        <v>38735</v>
      </c>
      <c r="E17" s="730">
        <f>D17-C17</f>
        <v>38735</v>
      </c>
    </row>
    <row r="18" spans="1:8" ht="16.5" thickBot="1" x14ac:dyDescent="0.3">
      <c r="A18" s="112" t="s">
        <v>475</v>
      </c>
      <c r="B18" s="113">
        <f>SUM(B5:B17)</f>
        <v>2430000</v>
      </c>
      <c r="C18" s="113">
        <f>SUM(C5:C17)</f>
        <v>2842522</v>
      </c>
      <c r="D18" s="113">
        <f>SUM(D5:D17)</f>
        <v>6065022</v>
      </c>
      <c r="E18" s="113">
        <f>D18-C18</f>
        <v>3222500</v>
      </c>
    </row>
    <row r="19" spans="1:8" x14ac:dyDescent="0.25">
      <c r="A19" s="101"/>
      <c r="B19" s="102"/>
      <c r="C19" s="102"/>
      <c r="D19" s="700"/>
      <c r="E19" s="103"/>
    </row>
    <row r="20" spans="1:8" x14ac:dyDescent="0.25">
      <c r="A20" s="115" t="s">
        <v>476</v>
      </c>
      <c r="B20" s="105"/>
      <c r="C20" s="105"/>
      <c r="D20" s="701"/>
      <c r="E20" s="106"/>
    </row>
    <row r="21" spans="1:8" s="108" customFormat="1" x14ac:dyDescent="0.25">
      <c r="A21" s="104" t="s">
        <v>517</v>
      </c>
      <c r="B21" s="116">
        <v>300000</v>
      </c>
      <c r="C21" s="116">
        <v>300000</v>
      </c>
      <c r="D21" s="703">
        <v>300000</v>
      </c>
      <c r="E21" s="117">
        <f>D21-C21</f>
        <v>0</v>
      </c>
    </row>
    <row r="22" spans="1:8" ht="30.75" customHeight="1" x14ac:dyDescent="0.25">
      <c r="A22" s="104" t="s">
        <v>506</v>
      </c>
      <c r="B22" s="736">
        <v>2250000</v>
      </c>
      <c r="C22" s="736">
        <v>2250000</v>
      </c>
      <c r="D22" s="737">
        <v>2250000</v>
      </c>
      <c r="E22" s="117">
        <f t="shared" ref="E22:E29" si="1">D22-C22</f>
        <v>0</v>
      </c>
    </row>
    <row r="23" spans="1:8" x14ac:dyDescent="0.25">
      <c r="A23" s="104" t="s">
        <v>507</v>
      </c>
      <c r="B23" s="105">
        <v>12750000</v>
      </c>
      <c r="C23" s="105">
        <v>12750000</v>
      </c>
      <c r="D23" s="701">
        <v>12750000</v>
      </c>
      <c r="E23" s="117">
        <f t="shared" si="1"/>
        <v>0</v>
      </c>
    </row>
    <row r="24" spans="1:8" x14ac:dyDescent="0.25">
      <c r="A24" s="104" t="s">
        <v>556</v>
      </c>
      <c r="B24" s="105">
        <v>0</v>
      </c>
      <c r="C24" s="105">
        <v>0</v>
      </c>
      <c r="D24" s="701">
        <v>0</v>
      </c>
      <c r="E24" s="117">
        <f t="shared" si="1"/>
        <v>0</v>
      </c>
    </row>
    <row r="25" spans="1:8" ht="31.5" x14ac:dyDescent="0.25">
      <c r="A25" s="104" t="s">
        <v>516</v>
      </c>
      <c r="B25" s="116">
        <v>500000</v>
      </c>
      <c r="C25" s="116">
        <v>500000</v>
      </c>
      <c r="D25" s="703">
        <v>500000</v>
      </c>
      <c r="E25" s="117">
        <f t="shared" si="1"/>
        <v>0</v>
      </c>
    </row>
    <row r="26" spans="1:8" x14ac:dyDescent="0.25">
      <c r="A26" s="104" t="s">
        <v>559</v>
      </c>
      <c r="B26" s="116">
        <v>0</v>
      </c>
      <c r="C26" s="116">
        <v>0</v>
      </c>
      <c r="D26" s="703">
        <v>211910</v>
      </c>
      <c r="E26" s="117">
        <f t="shared" si="1"/>
        <v>211910</v>
      </c>
    </row>
    <row r="27" spans="1:8" ht="31.5" x14ac:dyDescent="0.25">
      <c r="A27" s="104" t="s">
        <v>508</v>
      </c>
      <c r="B27" s="116">
        <v>1415000</v>
      </c>
      <c r="C27" s="116">
        <v>1415000</v>
      </c>
      <c r="D27" s="703">
        <v>1415000</v>
      </c>
      <c r="E27" s="117">
        <f t="shared" si="1"/>
        <v>0</v>
      </c>
    </row>
    <row r="28" spans="1:8" ht="31.5" x14ac:dyDescent="0.25">
      <c r="A28" s="104" t="s">
        <v>509</v>
      </c>
      <c r="B28" s="116">
        <v>748000</v>
      </c>
      <c r="C28" s="116">
        <v>748000</v>
      </c>
      <c r="D28" s="703">
        <v>748000</v>
      </c>
      <c r="E28" s="117">
        <f t="shared" si="1"/>
        <v>0</v>
      </c>
    </row>
    <row r="29" spans="1:8" x14ac:dyDescent="0.25">
      <c r="A29" s="104" t="s">
        <v>510</v>
      </c>
      <c r="B29" s="116">
        <v>3142000</v>
      </c>
      <c r="C29" s="116">
        <v>3142000</v>
      </c>
      <c r="D29" s="703">
        <v>3142000</v>
      </c>
      <c r="E29" s="117">
        <f t="shared" si="1"/>
        <v>0</v>
      </c>
    </row>
    <row r="30" spans="1:8" s="108" customFormat="1" ht="63" x14ac:dyDescent="0.25">
      <c r="A30" s="104" t="s">
        <v>518</v>
      </c>
      <c r="B30" s="116">
        <v>9766000</v>
      </c>
      <c r="C30" s="116">
        <f>B30-112522</f>
        <v>9653478</v>
      </c>
      <c r="D30" s="703">
        <f>C30+D33+D35</f>
        <v>12325223</v>
      </c>
      <c r="E30" s="117">
        <f>D33+D35</f>
        <v>2671745</v>
      </c>
      <c r="G30" s="783">
        <f>D30-C30</f>
        <v>2671745</v>
      </c>
      <c r="H30" s="783">
        <f>D31+D32+D34</f>
        <v>9653820</v>
      </c>
    </row>
    <row r="31" spans="1:8" s="108" customFormat="1" ht="31.5" x14ac:dyDescent="0.25">
      <c r="A31" s="104" t="s">
        <v>570</v>
      </c>
      <c r="B31" s="116"/>
      <c r="C31" s="116"/>
      <c r="D31" s="703">
        <v>5700451</v>
      </c>
      <c r="E31" s="117"/>
      <c r="H31" s="783">
        <f>C30-H30</f>
        <v>-342</v>
      </c>
    </row>
    <row r="32" spans="1:8" s="108" customFormat="1" ht="31.5" x14ac:dyDescent="0.25">
      <c r="A32" s="104" t="s">
        <v>571</v>
      </c>
      <c r="B32" s="116"/>
      <c r="C32" s="116"/>
      <c r="D32" s="703">
        <v>2113732</v>
      </c>
      <c r="E32" s="117"/>
      <c r="G32" s="783">
        <f>+D33+D35</f>
        <v>2671745</v>
      </c>
    </row>
    <row r="33" spans="1:5" s="108" customFormat="1" x14ac:dyDescent="0.25">
      <c r="A33" s="719" t="s">
        <v>573</v>
      </c>
      <c r="B33" s="116"/>
      <c r="C33" s="116"/>
      <c r="D33" s="744">
        <v>1161310</v>
      </c>
      <c r="E33" s="117"/>
    </row>
    <row r="34" spans="1:5" s="108" customFormat="1" ht="31.5" x14ac:dyDescent="0.25">
      <c r="A34" s="104" t="s">
        <v>572</v>
      </c>
      <c r="B34" s="116"/>
      <c r="C34" s="116"/>
      <c r="D34" s="703">
        <v>1839637</v>
      </c>
      <c r="E34" s="117"/>
    </row>
    <row r="35" spans="1:5" s="108" customFormat="1" x14ac:dyDescent="0.25">
      <c r="A35" s="719" t="s">
        <v>574</v>
      </c>
      <c r="B35" s="116"/>
      <c r="C35" s="116"/>
      <c r="D35" s="744">
        <v>1510435</v>
      </c>
      <c r="E35" s="117"/>
    </row>
    <row r="36" spans="1:5" ht="16.5" thickBot="1" x14ac:dyDescent="0.3">
      <c r="A36" s="104" t="s">
        <v>558</v>
      </c>
      <c r="B36" s="116">
        <v>0</v>
      </c>
      <c r="C36" s="116">
        <v>0</v>
      </c>
      <c r="D36" s="703">
        <v>99695</v>
      </c>
      <c r="E36" s="117">
        <f>D36-C36</f>
        <v>99695</v>
      </c>
    </row>
    <row r="37" spans="1:5" s="108" customFormat="1" ht="16.5" thickBot="1" x14ac:dyDescent="0.3">
      <c r="A37" s="112" t="s">
        <v>477</v>
      </c>
      <c r="B37" s="120">
        <f>SUM(B21:B36)</f>
        <v>30871000</v>
      </c>
      <c r="C37" s="120">
        <f>SUM(C21:C36)</f>
        <v>30758478</v>
      </c>
      <c r="D37" s="120">
        <f>SUM(D21:D36)-D31-D32-D33-D34-D35</f>
        <v>33741828</v>
      </c>
      <c r="E37" s="121">
        <f>D37-C37</f>
        <v>2983350</v>
      </c>
    </row>
    <row r="38" spans="1:5" s="108" customFormat="1" ht="16.5" thickBot="1" x14ac:dyDescent="0.3"/>
    <row r="39" spans="1:5" ht="16.5" thickBot="1" x14ac:dyDescent="0.3">
      <c r="A39" s="112" t="s">
        <v>478</v>
      </c>
      <c r="B39" s="122"/>
      <c r="C39" s="123">
        <f>C40</f>
        <v>78900</v>
      </c>
      <c r="D39" s="123">
        <f>D40</f>
        <v>78900</v>
      </c>
      <c r="E39" s="124">
        <f>D39-C39</f>
        <v>0</v>
      </c>
    </row>
    <row r="40" spans="1:5" ht="31.5" x14ac:dyDescent="0.25">
      <c r="A40" s="125" t="s">
        <v>511</v>
      </c>
      <c r="B40" s="126">
        <v>0</v>
      </c>
      <c r="C40" s="126">
        <v>78900</v>
      </c>
      <c r="D40" s="705">
        <f>C40</f>
        <v>78900</v>
      </c>
      <c r="E40" s="127">
        <f>D40-C40</f>
        <v>0</v>
      </c>
    </row>
    <row r="41" spans="1:5" ht="16.5" thickBot="1" x14ac:dyDescent="0.3">
      <c r="A41" s="128"/>
      <c r="B41" s="129"/>
      <c r="C41" s="129"/>
      <c r="D41" s="706"/>
      <c r="E41" s="130"/>
    </row>
    <row r="42" spans="1:5" ht="16.5" thickBot="1" x14ac:dyDescent="0.3">
      <c r="A42" s="131" t="s">
        <v>557</v>
      </c>
      <c r="B42" s="113">
        <f>B39+B37+B18</f>
        <v>33301000</v>
      </c>
      <c r="C42" s="113">
        <f>C39+C37+C18</f>
        <v>33679900</v>
      </c>
      <c r="D42" s="113">
        <f>D39+D37+D18</f>
        <v>39885750</v>
      </c>
      <c r="E42" s="114">
        <f>D42-C42</f>
        <v>6205850</v>
      </c>
    </row>
    <row r="43" spans="1:5" ht="16.5" thickBot="1" x14ac:dyDescent="0.3"/>
    <row r="44" spans="1:5" x14ac:dyDescent="0.25">
      <c r="A44" s="93" t="s">
        <v>116</v>
      </c>
      <c r="B44" s="94"/>
      <c r="C44" s="94"/>
      <c r="D44" s="707"/>
      <c r="E44" s="95"/>
    </row>
    <row r="45" spans="1:5" x14ac:dyDescent="0.25">
      <c r="A45" s="96" t="s">
        <v>117</v>
      </c>
      <c r="B45" s="118"/>
      <c r="C45" s="118"/>
      <c r="D45" s="704"/>
      <c r="E45" s="119"/>
    </row>
    <row r="46" spans="1:5" s="108" customFormat="1" x14ac:dyDescent="0.25">
      <c r="A46" s="96" t="s">
        <v>113</v>
      </c>
      <c r="B46" s="118"/>
      <c r="C46" s="118"/>
      <c r="D46" s="704"/>
      <c r="E46" s="119"/>
    </row>
    <row r="47" spans="1:5" ht="32.25" thickBot="1" x14ac:dyDescent="0.3">
      <c r="A47" s="96" t="s">
        <v>250</v>
      </c>
      <c r="B47" s="118">
        <v>1161000</v>
      </c>
      <c r="C47" s="118">
        <f>B47+473058</f>
        <v>1634058</v>
      </c>
      <c r="D47" s="704">
        <f>C47</f>
        <v>1634058</v>
      </c>
      <c r="E47" s="119">
        <f>D47-C47</f>
        <v>0</v>
      </c>
    </row>
    <row r="48" spans="1:5" ht="32.25" thickBot="1" x14ac:dyDescent="0.3">
      <c r="A48" s="97" t="s">
        <v>118</v>
      </c>
      <c r="B48" s="98">
        <f>SUM(B45:B47)</f>
        <v>1161000</v>
      </c>
      <c r="C48" s="98">
        <f>SUM(C45:C47)</f>
        <v>1634058</v>
      </c>
      <c r="D48" s="98">
        <f>SUM(D45:D47)</f>
        <v>1634058</v>
      </c>
      <c r="E48" s="99">
        <f>D48-C48</f>
        <v>0</v>
      </c>
    </row>
    <row r="49" spans="1:5" x14ac:dyDescent="0.25">
      <c r="A49" s="132"/>
      <c r="B49" s="126"/>
      <c r="C49" s="126"/>
      <c r="D49" s="705"/>
      <c r="E49" s="127"/>
    </row>
    <row r="50" spans="1:5" ht="16.5" thickBot="1" x14ac:dyDescent="0.3">
      <c r="A50" s="128"/>
      <c r="B50" s="154"/>
      <c r="C50" s="154"/>
      <c r="D50" s="708"/>
      <c r="E50" s="155"/>
    </row>
    <row r="51" spans="1:5" ht="16.5" thickBot="1" x14ac:dyDescent="0.3">
      <c r="A51" s="112" t="s">
        <v>119</v>
      </c>
      <c r="B51" s="156">
        <f>B48+B42</f>
        <v>34462000</v>
      </c>
      <c r="C51" s="156">
        <f>C48+C42</f>
        <v>35313958</v>
      </c>
      <c r="D51" s="156">
        <f>D48+D42</f>
        <v>41519808</v>
      </c>
      <c r="E51" s="157">
        <f>E48+E42</f>
        <v>6205850</v>
      </c>
    </row>
    <row r="52" spans="1:5" x14ac:dyDescent="0.25">
      <c r="A52" s="133"/>
      <c r="B52" s="133"/>
      <c r="C52" s="133"/>
      <c r="D52" s="133"/>
      <c r="E52" s="134"/>
    </row>
    <row r="53" spans="1:5" x14ac:dyDescent="0.25">
      <c r="A53" s="133"/>
      <c r="B53" s="133"/>
      <c r="C53" s="133"/>
      <c r="D53" s="133"/>
      <c r="E53" s="134"/>
    </row>
    <row r="54" spans="1:5" x14ac:dyDescent="0.25">
      <c r="A54" s="133"/>
      <c r="B54" s="133"/>
      <c r="C54" s="133"/>
      <c r="D54" s="133"/>
      <c r="E54" s="134"/>
    </row>
    <row r="55" spans="1:5" x14ac:dyDescent="0.25">
      <c r="A55" s="134"/>
      <c r="B55" s="134"/>
      <c r="C55" s="133"/>
      <c r="D55" s="133"/>
      <c r="E55" s="135"/>
    </row>
    <row r="56" spans="1:5" x14ac:dyDescent="0.25">
      <c r="A56" s="134"/>
      <c r="B56" s="134"/>
      <c r="C56" s="133"/>
      <c r="D56" s="133"/>
      <c r="E56" s="134"/>
    </row>
    <row r="57" spans="1:5" x14ac:dyDescent="0.25">
      <c r="A57" s="134"/>
      <c r="B57" s="134"/>
      <c r="C57" s="133"/>
      <c r="D57" s="133"/>
      <c r="E57" s="134"/>
    </row>
    <row r="58" spans="1:5" x14ac:dyDescent="0.25">
      <c r="A58" s="134"/>
      <c r="B58" s="134"/>
      <c r="C58" s="133"/>
      <c r="D58" s="133"/>
      <c r="E58" s="134"/>
    </row>
    <row r="59" spans="1:5" x14ac:dyDescent="0.25">
      <c r="A59" s="134"/>
      <c r="B59" s="134"/>
      <c r="C59" s="133"/>
      <c r="D59" s="133"/>
      <c r="E59" s="134"/>
    </row>
    <row r="60" spans="1:5" x14ac:dyDescent="0.25">
      <c r="A60" s="134"/>
      <c r="B60" s="134"/>
      <c r="C60" s="133"/>
      <c r="D60" s="133"/>
      <c r="E60" s="135"/>
    </row>
    <row r="61" spans="1:5" x14ac:dyDescent="0.25">
      <c r="A61" s="134"/>
      <c r="B61" s="134"/>
      <c r="C61" s="133"/>
      <c r="D61" s="133"/>
      <c r="E61" s="134"/>
    </row>
    <row r="62" spans="1:5" x14ac:dyDescent="0.25">
      <c r="A62" s="134"/>
      <c r="B62" s="134"/>
      <c r="C62" s="133"/>
      <c r="D62" s="133"/>
      <c r="E62" s="134"/>
    </row>
    <row r="63" spans="1:5" x14ac:dyDescent="0.25">
      <c r="A63" s="134"/>
      <c r="B63" s="134"/>
      <c r="C63" s="133"/>
      <c r="D63" s="133"/>
      <c r="E63" s="134"/>
    </row>
    <row r="64" spans="1:5" x14ac:dyDescent="0.25">
      <c r="A64" s="134"/>
      <c r="B64" s="134"/>
      <c r="C64" s="133"/>
      <c r="D64" s="133"/>
      <c r="E64" s="134"/>
    </row>
    <row r="65" spans="1:5" x14ac:dyDescent="0.25">
      <c r="A65" s="134"/>
      <c r="B65" s="134"/>
      <c r="C65" s="133"/>
      <c r="D65" s="133"/>
      <c r="E65" s="134"/>
    </row>
    <row r="66" spans="1:5" x14ac:dyDescent="0.25">
      <c r="A66" s="134"/>
      <c r="B66" s="134"/>
      <c r="C66" s="133"/>
      <c r="D66" s="133"/>
      <c r="E66" s="134"/>
    </row>
    <row r="67" spans="1:5" ht="14.25" customHeight="1" x14ac:dyDescent="0.25">
      <c r="A67" s="134"/>
      <c r="B67" s="134"/>
      <c r="C67" s="133"/>
      <c r="D67" s="133"/>
      <c r="E67" s="134"/>
    </row>
    <row r="68" spans="1:5" ht="14.25" customHeight="1" x14ac:dyDescent="0.25">
      <c r="A68" s="134"/>
      <c r="B68" s="134"/>
      <c r="C68" s="133"/>
      <c r="D68" s="133"/>
      <c r="E68" s="134"/>
    </row>
    <row r="69" spans="1:5" ht="30" customHeight="1" x14ac:dyDescent="0.25">
      <c r="A69" s="134"/>
      <c r="B69" s="134"/>
      <c r="C69" s="133"/>
      <c r="D69" s="133"/>
      <c r="E69" s="134"/>
    </row>
    <row r="70" spans="1:5" ht="16.5" customHeight="1" x14ac:dyDescent="0.25">
      <c r="A70" s="134"/>
      <c r="B70" s="134"/>
      <c r="C70" s="133"/>
      <c r="D70" s="133"/>
      <c r="E70" s="134"/>
    </row>
    <row r="71" spans="1:5" x14ac:dyDescent="0.25">
      <c r="A71" s="134"/>
      <c r="B71" s="134"/>
      <c r="C71" s="133"/>
      <c r="D71" s="133"/>
      <c r="E71" s="133"/>
    </row>
    <row r="72" spans="1:5" x14ac:dyDescent="0.25">
      <c r="A72" s="134"/>
      <c r="B72" s="134"/>
      <c r="C72" s="136"/>
      <c r="D72" s="136"/>
      <c r="E72" s="136"/>
    </row>
    <row r="73" spans="1:5" x14ac:dyDescent="0.25">
      <c r="A73" s="134"/>
      <c r="B73" s="134"/>
      <c r="C73" s="134"/>
      <c r="D73" s="134"/>
      <c r="E73" s="134"/>
    </row>
    <row r="74" spans="1:5" x14ac:dyDescent="0.25">
      <c r="A74" s="134"/>
      <c r="B74" s="134"/>
      <c r="C74" s="134"/>
      <c r="D74" s="134"/>
      <c r="E74" s="134"/>
    </row>
    <row r="75" spans="1:5" x14ac:dyDescent="0.25">
      <c r="A75" s="134"/>
      <c r="B75" s="134"/>
      <c r="C75" s="134"/>
      <c r="D75" s="134"/>
      <c r="E75" s="134"/>
    </row>
    <row r="76" spans="1:5" ht="12" customHeight="1" x14ac:dyDescent="0.25">
      <c r="A76" s="134"/>
      <c r="B76" s="134"/>
      <c r="C76" s="134"/>
      <c r="D76" s="134"/>
      <c r="E76" s="134"/>
    </row>
    <row r="77" spans="1:5" x14ac:dyDescent="0.25">
      <c r="A77" s="134"/>
      <c r="B77" s="134"/>
      <c r="C77" s="134"/>
      <c r="D77" s="134"/>
      <c r="E77" s="134"/>
    </row>
    <row r="78" spans="1:5" x14ac:dyDescent="0.25">
      <c r="A78" s="134"/>
      <c r="B78" s="134"/>
      <c r="C78" s="134"/>
      <c r="D78" s="134"/>
      <c r="E78" s="134"/>
    </row>
    <row r="79" spans="1:5" x14ac:dyDescent="0.25">
      <c r="A79" s="134"/>
      <c r="B79" s="134"/>
      <c r="C79" s="134"/>
      <c r="D79" s="134"/>
      <c r="E79" s="134"/>
    </row>
    <row r="80" spans="1:5" x14ac:dyDescent="0.25">
      <c r="A80" s="134"/>
      <c r="B80" s="134"/>
      <c r="C80" s="133"/>
      <c r="D80" s="133"/>
      <c r="E80" s="133"/>
    </row>
    <row r="81" spans="1:5" x14ac:dyDescent="0.25">
      <c r="A81" s="134"/>
      <c r="B81" s="134"/>
      <c r="C81" s="134"/>
      <c r="D81" s="134"/>
      <c r="E81" s="134"/>
    </row>
    <row r="82" spans="1:5" x14ac:dyDescent="0.25">
      <c r="A82" s="134"/>
      <c r="B82" s="134"/>
      <c r="C82" s="134"/>
      <c r="D82" s="134"/>
      <c r="E82" s="134"/>
    </row>
    <row r="83" spans="1:5" x14ac:dyDescent="0.25">
      <c r="A83" s="134"/>
      <c r="B83" s="134"/>
      <c r="C83" s="134"/>
      <c r="D83" s="134"/>
      <c r="E83" s="134"/>
    </row>
    <row r="84" spans="1:5" x14ac:dyDescent="0.25">
      <c r="A84" s="134"/>
      <c r="B84" s="134"/>
      <c r="C84" s="134"/>
      <c r="D84" s="134"/>
      <c r="E84" s="134"/>
    </row>
    <row r="85" spans="1:5" x14ac:dyDescent="0.25">
      <c r="A85" s="134"/>
      <c r="B85" s="134"/>
      <c r="C85" s="134"/>
      <c r="D85" s="134"/>
      <c r="E85" s="134"/>
    </row>
    <row r="86" spans="1:5" x14ac:dyDescent="0.25">
      <c r="A86" s="134"/>
      <c r="B86" s="134"/>
      <c r="C86" s="134"/>
      <c r="D86" s="134"/>
      <c r="E86" s="134"/>
    </row>
    <row r="87" spans="1:5" x14ac:dyDescent="0.25">
      <c r="A87" s="134"/>
      <c r="B87" s="134"/>
      <c r="C87" s="134"/>
      <c r="D87" s="134"/>
      <c r="E87" s="134"/>
    </row>
    <row r="88" spans="1:5" x14ac:dyDescent="0.25">
      <c r="A88" s="134"/>
      <c r="B88" s="134"/>
      <c r="C88" s="134"/>
      <c r="D88" s="134"/>
      <c r="E88" s="134"/>
    </row>
    <row r="89" spans="1:5" x14ac:dyDescent="0.25">
      <c r="A89" s="134"/>
      <c r="B89" s="134"/>
      <c r="C89" s="134"/>
      <c r="D89" s="134"/>
      <c r="E89" s="134"/>
    </row>
    <row r="90" spans="1:5" x14ac:dyDescent="0.25">
      <c r="A90" s="134"/>
      <c r="B90" s="134"/>
      <c r="C90" s="134"/>
      <c r="D90" s="134"/>
      <c r="E90" s="134"/>
    </row>
    <row r="91" spans="1:5" ht="14.25" customHeight="1" x14ac:dyDescent="0.25">
      <c r="A91" s="134"/>
      <c r="B91" s="134"/>
      <c r="C91" s="134"/>
      <c r="D91" s="134"/>
      <c r="E91" s="134"/>
    </row>
    <row r="92" spans="1:5" x14ac:dyDescent="0.25">
      <c r="A92" s="133"/>
      <c r="B92" s="133"/>
      <c r="C92" s="133"/>
      <c r="D92" s="133"/>
      <c r="E92" s="134"/>
    </row>
    <row r="93" spans="1:5" x14ac:dyDescent="0.25">
      <c r="A93" s="133"/>
      <c r="B93" s="133"/>
      <c r="C93" s="133"/>
      <c r="D93" s="133"/>
      <c r="E93" s="133"/>
    </row>
    <row r="94" spans="1:5" x14ac:dyDescent="0.25">
      <c r="A94" s="133"/>
      <c r="B94" s="133"/>
      <c r="C94" s="133"/>
      <c r="D94" s="133"/>
      <c r="E94" s="134"/>
    </row>
    <row r="95" spans="1:5" x14ac:dyDescent="0.25">
      <c r="A95" s="133"/>
      <c r="B95" s="133"/>
      <c r="C95" s="133"/>
      <c r="D95" s="133"/>
      <c r="E95" s="134"/>
    </row>
    <row r="96" spans="1:5" x14ac:dyDescent="0.25">
      <c r="A96" s="133"/>
      <c r="B96" s="133"/>
      <c r="C96" s="133"/>
      <c r="D96" s="133"/>
      <c r="E96" s="134"/>
    </row>
    <row r="97" spans="1:5" x14ac:dyDescent="0.25">
      <c r="A97" s="133"/>
      <c r="B97" s="133"/>
      <c r="C97" s="133"/>
      <c r="D97" s="133"/>
      <c r="E97" s="134"/>
    </row>
    <row r="98" spans="1:5" x14ac:dyDescent="0.25">
      <c r="A98" s="133"/>
      <c r="B98" s="133"/>
      <c r="C98" s="133"/>
      <c r="D98" s="133"/>
      <c r="E98" s="137"/>
    </row>
    <row r="99" spans="1:5" x14ac:dyDescent="0.25">
      <c r="A99" s="133"/>
      <c r="B99" s="133"/>
      <c r="C99" s="133"/>
      <c r="D99" s="133"/>
      <c r="E99" s="134"/>
    </row>
    <row r="100" spans="1:5" x14ac:dyDescent="0.25">
      <c r="A100" s="133"/>
      <c r="B100" s="133"/>
      <c r="C100" s="133"/>
      <c r="D100" s="133"/>
      <c r="E100" s="134"/>
    </row>
    <row r="101" spans="1:5" x14ac:dyDescent="0.25">
      <c r="A101" s="133"/>
      <c r="B101" s="133"/>
      <c r="C101" s="133"/>
      <c r="D101" s="133"/>
      <c r="E101" s="134"/>
    </row>
    <row r="102" spans="1:5" x14ac:dyDescent="0.25">
      <c r="A102" s="133"/>
      <c r="B102" s="133"/>
      <c r="C102" s="133"/>
      <c r="D102" s="133"/>
      <c r="E102" s="134"/>
    </row>
    <row r="103" spans="1:5" x14ac:dyDescent="0.25">
      <c r="A103" s="133"/>
      <c r="B103" s="133"/>
      <c r="C103" s="133"/>
      <c r="D103" s="133"/>
      <c r="E103" s="134"/>
    </row>
    <row r="104" spans="1:5" x14ac:dyDescent="0.25">
      <c r="A104" s="133"/>
      <c r="B104" s="133"/>
      <c r="C104" s="133"/>
      <c r="D104" s="133"/>
      <c r="E104" s="134"/>
    </row>
    <row r="105" spans="1:5" x14ac:dyDescent="0.25">
      <c r="A105" s="133"/>
      <c r="B105" s="133"/>
      <c r="C105" s="133"/>
      <c r="D105" s="133"/>
      <c r="E105" s="134"/>
    </row>
    <row r="106" spans="1:5" x14ac:dyDescent="0.25">
      <c r="A106" s="133"/>
      <c r="B106" s="133"/>
      <c r="C106" s="133"/>
      <c r="D106" s="133"/>
      <c r="E106" s="134"/>
    </row>
    <row r="107" spans="1:5" x14ac:dyDescent="0.25">
      <c r="A107" s="133"/>
      <c r="B107" s="133"/>
      <c r="C107" s="133"/>
      <c r="D107" s="133"/>
      <c r="E107" s="134"/>
    </row>
    <row r="108" spans="1:5" x14ac:dyDescent="0.25">
      <c r="A108" s="133"/>
      <c r="B108" s="133"/>
      <c r="C108" s="133"/>
      <c r="D108" s="133"/>
      <c r="E108" s="134"/>
    </row>
    <row r="109" spans="1:5" x14ac:dyDescent="0.25">
      <c r="A109" s="133"/>
      <c r="B109" s="133"/>
      <c r="C109" s="133"/>
      <c r="D109" s="133"/>
      <c r="E109" s="134"/>
    </row>
    <row r="110" spans="1:5" x14ac:dyDescent="0.25">
      <c r="A110" s="133"/>
      <c r="B110" s="133"/>
      <c r="C110" s="133"/>
      <c r="D110" s="133"/>
      <c r="E110" s="135"/>
    </row>
    <row r="111" spans="1:5" x14ac:dyDescent="0.25">
      <c r="A111" s="133"/>
      <c r="B111" s="133"/>
      <c r="C111" s="133"/>
      <c r="D111" s="133"/>
      <c r="E111" s="134"/>
    </row>
    <row r="112" spans="1:5" x14ac:dyDescent="0.25">
      <c r="A112" s="133"/>
      <c r="B112" s="133"/>
      <c r="C112" s="133"/>
      <c r="D112" s="133"/>
      <c r="E112" s="134"/>
    </row>
    <row r="113" spans="1:5" x14ac:dyDescent="0.25">
      <c r="A113" s="133"/>
      <c r="B113" s="133"/>
      <c r="C113" s="133"/>
      <c r="D113" s="133"/>
      <c r="E113" s="134"/>
    </row>
    <row r="114" spans="1:5" x14ac:dyDescent="0.25">
      <c r="A114" s="133"/>
      <c r="B114" s="133"/>
      <c r="C114" s="133"/>
      <c r="D114" s="133"/>
      <c r="E114" s="134"/>
    </row>
    <row r="115" spans="1:5" x14ac:dyDescent="0.25">
      <c r="A115" s="133"/>
      <c r="B115" s="133"/>
      <c r="C115" s="133"/>
      <c r="D115" s="133"/>
      <c r="E115" s="134"/>
    </row>
    <row r="116" spans="1:5" x14ac:dyDescent="0.25">
      <c r="A116" s="133"/>
      <c r="B116" s="133"/>
      <c r="C116" s="133"/>
      <c r="D116" s="133"/>
      <c r="E116" s="134"/>
    </row>
    <row r="117" spans="1:5" x14ac:dyDescent="0.25">
      <c r="A117" s="133"/>
      <c r="B117" s="133"/>
      <c r="C117" s="133"/>
      <c r="D117" s="133"/>
      <c r="E117" s="134"/>
    </row>
    <row r="118" spans="1:5" x14ac:dyDescent="0.25">
      <c r="A118" s="133"/>
      <c r="B118" s="133"/>
      <c r="C118" s="133"/>
      <c r="D118" s="133"/>
      <c r="E118" s="134"/>
    </row>
    <row r="119" spans="1:5" x14ac:dyDescent="0.25">
      <c r="A119" s="133"/>
      <c r="B119" s="133"/>
      <c r="C119" s="133"/>
      <c r="D119" s="133"/>
      <c r="E119" s="134"/>
    </row>
    <row r="120" spans="1:5" x14ac:dyDescent="0.25">
      <c r="A120" s="133"/>
      <c r="B120" s="133"/>
      <c r="C120" s="133"/>
      <c r="D120" s="133"/>
      <c r="E120" s="134"/>
    </row>
    <row r="121" spans="1:5" x14ac:dyDescent="0.25">
      <c r="A121" s="133"/>
      <c r="B121" s="133"/>
      <c r="C121" s="133"/>
      <c r="D121" s="133"/>
      <c r="E121" s="134"/>
    </row>
    <row r="122" spans="1:5" x14ac:dyDescent="0.25">
      <c r="A122" s="133"/>
      <c r="B122" s="133"/>
      <c r="C122" s="133"/>
      <c r="D122" s="133"/>
      <c r="E122" s="134"/>
    </row>
    <row r="123" spans="1:5" ht="17.25" customHeight="1" x14ac:dyDescent="0.25">
      <c r="A123" s="133"/>
      <c r="B123" s="133"/>
      <c r="C123" s="133"/>
      <c r="D123" s="133"/>
      <c r="E123" s="134"/>
    </row>
    <row r="124" spans="1:5" x14ac:dyDescent="0.25">
      <c r="A124" s="133"/>
      <c r="B124" s="133"/>
      <c r="C124" s="133"/>
      <c r="D124" s="133"/>
      <c r="E124" s="133"/>
    </row>
    <row r="125" spans="1:5" x14ac:dyDescent="0.25">
      <c r="A125" s="133"/>
      <c r="B125" s="133"/>
      <c r="C125" s="133"/>
      <c r="D125" s="133"/>
      <c r="E125" s="134"/>
    </row>
    <row r="126" spans="1:5" x14ac:dyDescent="0.25">
      <c r="A126" s="133"/>
      <c r="B126" s="133"/>
      <c r="C126" s="133"/>
      <c r="D126" s="133"/>
      <c r="E126" s="134"/>
    </row>
    <row r="127" spans="1:5" x14ac:dyDescent="0.25">
      <c r="A127" s="133"/>
      <c r="B127" s="133"/>
      <c r="C127" s="133"/>
      <c r="D127" s="133"/>
      <c r="E127" s="134"/>
    </row>
    <row r="128" spans="1:5" x14ac:dyDescent="0.25">
      <c r="A128" s="133"/>
      <c r="B128" s="133"/>
      <c r="C128" s="133"/>
      <c r="D128" s="133"/>
      <c r="E128" s="134"/>
    </row>
    <row r="129" spans="1:5" x14ac:dyDescent="0.25">
      <c r="A129" s="133"/>
      <c r="B129" s="133"/>
      <c r="C129" s="133"/>
      <c r="D129" s="133"/>
      <c r="E129" s="135"/>
    </row>
    <row r="130" spans="1:5" x14ac:dyDescent="0.25">
      <c r="A130" s="133"/>
      <c r="B130" s="133"/>
      <c r="C130" s="133"/>
      <c r="D130" s="133"/>
      <c r="E130" s="136"/>
    </row>
    <row r="131" spans="1:5" x14ac:dyDescent="0.25">
      <c r="A131" s="133"/>
      <c r="B131" s="133"/>
      <c r="C131" s="133"/>
      <c r="D131" s="133"/>
      <c r="E131" s="134"/>
    </row>
    <row r="132" spans="1:5" ht="31.5" customHeight="1" x14ac:dyDescent="0.25">
      <c r="A132" s="133"/>
      <c r="B132" s="133"/>
      <c r="C132" s="133"/>
      <c r="D132" s="133"/>
      <c r="E132" s="134"/>
    </row>
    <row r="133" spans="1:5" x14ac:dyDescent="0.25">
      <c r="A133" s="133"/>
      <c r="B133" s="133"/>
      <c r="C133" s="133"/>
      <c r="D133" s="133"/>
      <c r="E133" s="135"/>
    </row>
    <row r="134" spans="1:5" x14ac:dyDescent="0.25">
      <c r="A134" s="133"/>
      <c r="B134" s="133"/>
      <c r="C134" s="133"/>
      <c r="D134" s="133"/>
      <c r="E134" s="134"/>
    </row>
    <row r="135" spans="1:5" ht="15.75" customHeight="1" x14ac:dyDescent="0.25">
      <c r="A135" s="133"/>
      <c r="B135" s="133"/>
      <c r="C135" s="133"/>
      <c r="D135" s="133"/>
      <c r="E135" s="134"/>
    </row>
    <row r="136" spans="1:5" x14ac:dyDescent="0.25">
      <c r="A136" s="133"/>
      <c r="B136" s="133"/>
      <c r="C136" s="133"/>
      <c r="D136" s="133"/>
      <c r="E136" s="134"/>
    </row>
    <row r="137" spans="1:5" x14ac:dyDescent="0.25">
      <c r="A137" s="133"/>
      <c r="B137" s="133"/>
      <c r="C137" s="133"/>
      <c r="D137" s="133"/>
      <c r="E137" s="134"/>
    </row>
    <row r="138" spans="1:5" x14ac:dyDescent="0.25">
      <c r="A138" s="133"/>
      <c r="B138" s="133"/>
      <c r="C138" s="133"/>
      <c r="D138" s="133"/>
      <c r="E138" s="134"/>
    </row>
    <row r="139" spans="1:5" x14ac:dyDescent="0.25">
      <c r="A139" s="133"/>
      <c r="B139" s="133"/>
      <c r="C139" s="133"/>
      <c r="D139" s="133"/>
      <c r="E139" s="134"/>
    </row>
    <row r="140" spans="1:5" x14ac:dyDescent="0.25">
      <c r="A140" s="133"/>
      <c r="B140" s="133"/>
      <c r="C140" s="133"/>
      <c r="D140" s="133"/>
      <c r="E140" s="134"/>
    </row>
    <row r="141" spans="1:5" x14ac:dyDescent="0.25">
      <c r="A141" s="133"/>
      <c r="B141" s="133"/>
      <c r="C141" s="133"/>
      <c r="D141" s="133"/>
      <c r="E141" s="134"/>
    </row>
    <row r="142" spans="1:5" ht="14.25" customHeight="1" x14ac:dyDescent="0.25">
      <c r="A142" s="133"/>
      <c r="B142" s="133"/>
      <c r="C142" s="133"/>
      <c r="D142" s="133"/>
      <c r="E142" s="134"/>
    </row>
    <row r="143" spans="1:5" x14ac:dyDescent="0.25">
      <c r="A143" s="133"/>
      <c r="B143" s="133"/>
      <c r="C143" s="133"/>
      <c r="D143" s="133"/>
      <c r="E143" s="133"/>
    </row>
    <row r="144" spans="1:5" x14ac:dyDescent="0.25">
      <c r="A144" s="133"/>
      <c r="B144" s="133"/>
      <c r="C144" s="133"/>
      <c r="D144" s="133"/>
      <c r="E144" s="134"/>
    </row>
    <row r="145" spans="1:5" x14ac:dyDescent="0.25">
      <c r="A145" s="133"/>
      <c r="B145" s="133"/>
      <c r="C145" s="133"/>
      <c r="D145" s="133"/>
      <c r="E145" s="134"/>
    </row>
    <row r="146" spans="1:5" s="108" customFormat="1" x14ac:dyDescent="0.25">
      <c r="A146" s="133"/>
      <c r="B146" s="133"/>
      <c r="C146" s="133"/>
      <c r="D146" s="133"/>
      <c r="E146" s="135"/>
    </row>
    <row r="147" spans="1:5" x14ac:dyDescent="0.25">
      <c r="A147" s="133"/>
      <c r="B147" s="133"/>
      <c r="C147" s="133"/>
      <c r="D147" s="133"/>
      <c r="E147" s="134"/>
    </row>
    <row r="148" spans="1:5" x14ac:dyDescent="0.25">
      <c r="A148" s="133"/>
      <c r="B148" s="133"/>
      <c r="C148" s="133"/>
      <c r="D148" s="133"/>
      <c r="E148" s="134"/>
    </row>
    <row r="149" spans="1:5" s="108" customFormat="1" x14ac:dyDescent="0.25">
      <c r="A149" s="133"/>
      <c r="B149" s="133"/>
      <c r="C149" s="133"/>
      <c r="D149" s="133"/>
      <c r="E149" s="135"/>
    </row>
    <row r="150" spans="1:5" x14ac:dyDescent="0.25">
      <c r="A150" s="133"/>
      <c r="B150" s="133"/>
      <c r="C150" s="133"/>
      <c r="D150" s="133"/>
      <c r="E150" s="134"/>
    </row>
    <row r="151" spans="1:5" x14ac:dyDescent="0.25">
      <c r="A151" s="133"/>
      <c r="B151" s="133"/>
      <c r="C151" s="133"/>
      <c r="D151" s="133"/>
      <c r="E151" s="134"/>
    </row>
    <row r="152" spans="1:5" x14ac:dyDescent="0.25">
      <c r="A152" s="133"/>
      <c r="B152" s="133"/>
      <c r="C152" s="133"/>
      <c r="D152" s="133"/>
      <c r="E152" s="134"/>
    </row>
    <row r="153" spans="1:5" x14ac:dyDescent="0.25">
      <c r="A153" s="133"/>
      <c r="B153" s="133"/>
      <c r="C153" s="133"/>
      <c r="D153" s="133"/>
      <c r="E153" s="134"/>
    </row>
    <row r="154" spans="1:5" ht="14.25" customHeight="1" x14ac:dyDescent="0.25">
      <c r="A154" s="133"/>
      <c r="B154" s="133"/>
      <c r="C154" s="133"/>
      <c r="D154" s="133"/>
      <c r="E154" s="134"/>
    </row>
    <row r="155" spans="1:5" x14ac:dyDescent="0.25">
      <c r="A155" s="133"/>
      <c r="B155" s="133"/>
      <c r="C155" s="133"/>
      <c r="D155" s="133"/>
      <c r="E155" s="133"/>
    </row>
    <row r="156" spans="1:5" x14ac:dyDescent="0.25">
      <c r="A156" s="133"/>
      <c r="B156" s="133"/>
      <c r="C156" s="133"/>
      <c r="D156" s="133"/>
      <c r="E156" s="134"/>
    </row>
    <row r="157" spans="1:5" x14ac:dyDescent="0.25">
      <c r="A157" s="133"/>
      <c r="B157" s="133"/>
      <c r="C157" s="133"/>
      <c r="D157" s="133"/>
      <c r="E157" s="134"/>
    </row>
    <row r="158" spans="1:5" s="108" customFormat="1" x14ac:dyDescent="0.25">
      <c r="A158" s="133"/>
      <c r="B158" s="133"/>
      <c r="C158" s="133"/>
      <c r="D158" s="133"/>
      <c r="E158" s="133"/>
    </row>
    <row r="159" spans="1:5" s="108" customFormat="1" x14ac:dyDescent="0.25">
      <c r="A159" s="133"/>
      <c r="B159" s="133"/>
      <c r="C159" s="133"/>
      <c r="D159" s="133"/>
      <c r="E159" s="134"/>
    </row>
    <row r="160" spans="1:5" x14ac:dyDescent="0.25">
      <c r="A160" s="133"/>
      <c r="B160" s="133"/>
      <c r="C160" s="133"/>
      <c r="D160" s="133"/>
      <c r="E160" s="134"/>
    </row>
    <row r="161" spans="1:5" x14ac:dyDescent="0.25">
      <c r="A161" s="133"/>
      <c r="B161" s="133"/>
      <c r="C161" s="133"/>
      <c r="D161" s="133"/>
      <c r="E161" s="134"/>
    </row>
    <row r="162" spans="1:5" x14ac:dyDescent="0.25">
      <c r="A162" s="133"/>
      <c r="B162" s="133"/>
      <c r="C162" s="133"/>
      <c r="D162" s="133"/>
      <c r="E162" s="134"/>
    </row>
    <row r="163" spans="1:5" ht="14.25" customHeight="1" x14ac:dyDescent="0.25">
      <c r="A163" s="133"/>
      <c r="B163" s="133"/>
      <c r="C163" s="133"/>
      <c r="D163" s="133"/>
      <c r="E163" s="134"/>
    </row>
    <row r="164" spans="1:5" s="108" customFormat="1" x14ac:dyDescent="0.25">
      <c r="A164" s="133"/>
      <c r="B164" s="133"/>
      <c r="C164" s="133"/>
      <c r="D164" s="133"/>
      <c r="E164" s="133"/>
    </row>
    <row r="165" spans="1:5" x14ac:dyDescent="0.25">
      <c r="A165" s="133"/>
      <c r="B165" s="133"/>
      <c r="C165" s="133"/>
      <c r="D165" s="133"/>
      <c r="E165" s="134"/>
    </row>
    <row r="166" spans="1:5" x14ac:dyDescent="0.25">
      <c r="A166" s="133"/>
      <c r="B166" s="133"/>
      <c r="C166" s="133"/>
      <c r="D166" s="133"/>
      <c r="E166" s="134"/>
    </row>
    <row r="167" spans="1:5" x14ac:dyDescent="0.25">
      <c r="A167" s="133"/>
      <c r="B167" s="133"/>
      <c r="C167" s="133"/>
      <c r="D167" s="133"/>
      <c r="E167" s="134"/>
    </row>
    <row r="168" spans="1:5" x14ac:dyDescent="0.25">
      <c r="A168" s="133"/>
      <c r="B168" s="133"/>
      <c r="C168" s="133"/>
      <c r="D168" s="133"/>
      <c r="E168" s="134"/>
    </row>
    <row r="169" spans="1:5" x14ac:dyDescent="0.25">
      <c r="A169" s="133"/>
      <c r="B169" s="133"/>
      <c r="C169" s="133"/>
      <c r="D169" s="133"/>
      <c r="E169" s="133"/>
    </row>
    <row r="170" spans="1:5" x14ac:dyDescent="0.25">
      <c r="B170" s="138"/>
      <c r="C170" s="138"/>
      <c r="D170" s="138"/>
      <c r="E170" s="138"/>
    </row>
  </sheetData>
  <sheetProtection selectLockedCells="1" selectUnlockedCells="1"/>
  <mergeCells count="1">
    <mergeCell ref="A1:E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0" orientation="portrait" r:id="rId1"/>
  <headerFooter alignWithMargins="0">
    <oddHeader>&amp;C&amp;"Times New Roman,Félkövér"&amp;12 5. melléklet a 11/2017. (IX. 29.) önkormányzati rendelethez
Az önkormányzat 2017. évi költségvetéséről szóló 2/2017. (II. 15.) önkormányzati rendelet 5. mellékletének helyébe a következő 5. melléklet lép:</oddHeader>
  </headerFooter>
  <rowBreaks count="2" manualBreakCount="2">
    <brk id="71" max="16383" man="1"/>
    <brk id="12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L62"/>
  <sheetViews>
    <sheetView view="pageLayout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5.7109375" style="436" customWidth="1"/>
    <col min="2" max="2" width="18.5703125" style="197" bestFit="1" customWidth="1"/>
    <col min="3" max="3" width="18.42578125" style="197" bestFit="1" customWidth="1"/>
    <col min="4" max="4" width="18.42578125" style="197" customWidth="1"/>
    <col min="5" max="5" width="17" style="197" bestFit="1" customWidth="1"/>
    <col min="6" max="6" width="45.85546875" style="436" customWidth="1"/>
    <col min="7" max="7" width="19.7109375" style="197" bestFit="1" customWidth="1"/>
    <col min="8" max="8" width="18.5703125" style="197" bestFit="1" customWidth="1"/>
    <col min="9" max="9" width="18.5703125" style="197" customWidth="1"/>
    <col min="10" max="10" width="18.5703125" style="197" bestFit="1" customWidth="1"/>
    <col min="11" max="11" width="9.140625" style="197"/>
    <col min="12" max="12" width="10.5703125" style="197" customWidth="1"/>
    <col min="13" max="13" width="9.140625" style="197"/>
    <col min="14" max="14" width="12.28515625" style="197" customWidth="1"/>
    <col min="15" max="16384" width="9.140625" style="197"/>
  </cols>
  <sheetData>
    <row r="2" spans="1:12" x14ac:dyDescent="0.25">
      <c r="F2" s="437"/>
      <c r="G2" s="438"/>
      <c r="H2" s="438"/>
      <c r="I2" s="438"/>
      <c r="J2" s="438"/>
    </row>
    <row r="4" spans="1:12" ht="15.75" customHeight="1" x14ac:dyDescent="0.25">
      <c r="A4" s="851" t="s">
        <v>545</v>
      </c>
      <c r="B4" s="851"/>
      <c r="C4" s="851"/>
      <c r="D4" s="851"/>
      <c r="E4" s="851"/>
      <c r="F4" s="851"/>
      <c r="G4" s="851"/>
      <c r="H4" s="851"/>
      <c r="I4" s="851"/>
      <c r="J4" s="851"/>
    </row>
    <row r="5" spans="1:12" ht="16.5" thickBot="1" x14ac:dyDescent="0.3"/>
    <row r="6" spans="1:12" s="436" customFormat="1" ht="16.5" thickBot="1" x14ac:dyDescent="0.3">
      <c r="A6" s="439" t="s">
        <v>120</v>
      </c>
      <c r="B6" s="161" t="s">
        <v>529</v>
      </c>
      <c r="C6" s="161" t="s">
        <v>530</v>
      </c>
      <c r="D6" s="161" t="s">
        <v>549</v>
      </c>
      <c r="E6" s="161" t="s">
        <v>531</v>
      </c>
      <c r="F6" s="440" t="s">
        <v>121</v>
      </c>
      <c r="G6" s="161" t="s">
        <v>529</v>
      </c>
      <c r="H6" s="161" t="s">
        <v>530</v>
      </c>
      <c r="I6" s="161" t="s">
        <v>549</v>
      </c>
      <c r="J6" s="435" t="s">
        <v>531</v>
      </c>
    </row>
    <row r="7" spans="1:12" ht="31.5" x14ac:dyDescent="0.25">
      <c r="A7" s="441" t="s">
        <v>122</v>
      </c>
      <c r="B7" s="442">
        <f>'1.sz.tábla'!B7</f>
        <v>30310196</v>
      </c>
      <c r="C7" s="442">
        <f>'1.sz.tábla'!C7</f>
        <v>31538654</v>
      </c>
      <c r="D7" s="442">
        <f>'1.sz.tábla'!D7</f>
        <v>34179452</v>
      </c>
      <c r="E7" s="442">
        <f>'1.sz.tábla'!E7</f>
        <v>2640798</v>
      </c>
      <c r="F7" s="443" t="s">
        <v>107</v>
      </c>
      <c r="G7" s="442">
        <f>'3.tábla'!B7</f>
        <v>15482750</v>
      </c>
      <c r="H7" s="442">
        <f>'3.tábla'!C7</f>
        <v>17276568</v>
      </c>
      <c r="I7" s="442">
        <f>'3.tábla'!D7</f>
        <v>17770943</v>
      </c>
      <c r="J7" s="442">
        <f>'3.tábla'!E7</f>
        <v>494375</v>
      </c>
    </row>
    <row r="8" spans="1:12" x14ac:dyDescent="0.25">
      <c r="A8" s="444" t="s">
        <v>123</v>
      </c>
      <c r="B8" s="198">
        <f>'1.sz.tábla'!B9</f>
        <v>20450000</v>
      </c>
      <c r="C8" s="198">
        <f>'1.sz.tábla'!C9</f>
        <v>20450000</v>
      </c>
      <c r="D8" s="198">
        <f>'1.sz.tábla'!D9</f>
        <v>20450000</v>
      </c>
      <c r="E8" s="198">
        <f>'1.sz.tábla'!E9</f>
        <v>0</v>
      </c>
      <c r="F8" s="445" t="s">
        <v>124</v>
      </c>
      <c r="G8" s="446">
        <f>'3.tábla'!B8</f>
        <v>3800000</v>
      </c>
      <c r="H8" s="446">
        <f>'3.tábla'!C8</f>
        <v>3643137</v>
      </c>
      <c r="I8" s="446">
        <f>'3.tábla'!D8</f>
        <v>3759301</v>
      </c>
      <c r="J8" s="446">
        <f>'3.tábla'!E8</f>
        <v>116164</v>
      </c>
    </row>
    <row r="9" spans="1:12" x14ac:dyDescent="0.25">
      <c r="A9" s="445" t="s">
        <v>125</v>
      </c>
      <c r="B9" s="198">
        <f>'1.sz.tábla'!B10</f>
        <v>7300000</v>
      </c>
      <c r="C9" s="198">
        <f>'1.sz.tábla'!C10</f>
        <v>7300000</v>
      </c>
      <c r="D9" s="198">
        <f>'1.sz.tábla'!D10</f>
        <v>7300000</v>
      </c>
      <c r="E9" s="198">
        <f>'1.sz.tábla'!E10</f>
        <v>0</v>
      </c>
      <c r="F9" s="445" t="s">
        <v>126</v>
      </c>
      <c r="G9" s="198">
        <f>'3.tábla'!B9</f>
        <v>32296000</v>
      </c>
      <c r="H9" s="198">
        <f>'3.tábla'!C9</f>
        <v>33249503</v>
      </c>
      <c r="I9" s="198">
        <f>'3.tábla'!D9</f>
        <v>34356503</v>
      </c>
      <c r="J9" s="198">
        <f>'3.tábla'!E9</f>
        <v>1107000</v>
      </c>
      <c r="L9" s="433"/>
    </row>
    <row r="10" spans="1:12" ht="31.5" x14ac:dyDescent="0.25">
      <c r="A10" s="444" t="s">
        <v>127</v>
      </c>
      <c r="B10" s="198">
        <f>'1.sz.tábla'!B12</f>
        <v>0</v>
      </c>
      <c r="C10" s="198">
        <f>'1.sz.tábla'!C12</f>
        <v>0</v>
      </c>
      <c r="D10" s="198">
        <f>'1.sz.tábla'!D12</f>
        <v>0</v>
      </c>
      <c r="E10" s="198">
        <f>'1.sz.tábla'!E12</f>
        <v>0</v>
      </c>
      <c r="F10" s="445" t="s">
        <v>108</v>
      </c>
      <c r="G10" s="198">
        <f>'3.tábla'!B48</f>
        <v>3950000</v>
      </c>
      <c r="H10" s="198">
        <f>'3.tábla'!C48</f>
        <v>3950000</v>
      </c>
      <c r="I10" s="198">
        <f>'3.tábla'!D48</f>
        <v>3073000</v>
      </c>
      <c r="J10" s="198">
        <f>'3.tábla'!E48</f>
        <v>-877000</v>
      </c>
    </row>
    <row r="11" spans="1:12" x14ac:dyDescent="0.25">
      <c r="A11" s="445"/>
      <c r="B11" s="447"/>
      <c r="C11" s="447"/>
      <c r="D11" s="447"/>
      <c r="E11" s="447"/>
      <c r="F11" s="445" t="s">
        <v>106</v>
      </c>
      <c r="G11" s="198">
        <f>'3.tábla'!B35</f>
        <v>13102749</v>
      </c>
      <c r="H11" s="198">
        <f>'3.tábla'!C35</f>
        <v>13237662</v>
      </c>
      <c r="I11" s="198">
        <f>'3.tábla'!D35</f>
        <v>12277948</v>
      </c>
      <c r="J11" s="198">
        <f>'3.tábla'!E35</f>
        <v>-959714</v>
      </c>
    </row>
    <row r="12" spans="1:12" x14ac:dyDescent="0.25">
      <c r="A12" s="445"/>
      <c r="B12" s="447"/>
      <c r="C12" s="447"/>
      <c r="D12" s="447"/>
      <c r="E12" s="447"/>
      <c r="F12" s="445" t="s">
        <v>251</v>
      </c>
      <c r="G12" s="198">
        <f>'3.tábla'!B34</f>
        <v>0</v>
      </c>
      <c r="H12" s="198">
        <f>'3.tábla'!C34</f>
        <v>27813</v>
      </c>
      <c r="I12" s="198">
        <f>'3.tábla'!D34</f>
        <v>27813</v>
      </c>
      <c r="J12" s="198">
        <f>'3.tábla'!E34</f>
        <v>0</v>
      </c>
    </row>
    <row r="13" spans="1:12" ht="31.5" x14ac:dyDescent="0.25">
      <c r="A13" s="444"/>
      <c r="B13" s="447"/>
      <c r="C13" s="447"/>
      <c r="D13" s="447"/>
      <c r="E13" s="447"/>
      <c r="F13" s="445" t="s">
        <v>252</v>
      </c>
      <c r="G13" s="198">
        <f>'4. sz. tábla'!B5</f>
        <v>12458749</v>
      </c>
      <c r="H13" s="198">
        <f>'4. sz. tábla'!C5</f>
        <v>12379849</v>
      </c>
      <c r="I13" s="198">
        <f>'4. sz. tábla'!D5</f>
        <v>11950135</v>
      </c>
      <c r="J13" s="198">
        <f>'4. sz. tábla'!E5</f>
        <v>-429714</v>
      </c>
    </row>
    <row r="14" spans="1:12" ht="31.5" x14ac:dyDescent="0.25">
      <c r="A14" s="448"/>
      <c r="B14" s="447"/>
      <c r="C14" s="447"/>
      <c r="D14" s="447"/>
      <c r="E14" s="447"/>
      <c r="F14" s="449" t="s">
        <v>253</v>
      </c>
      <c r="G14" s="446">
        <f>'4. sz. tábla'!B9</f>
        <v>0</v>
      </c>
      <c r="H14" s="446">
        <f>'4. sz. tábla'!C9</f>
        <v>0</v>
      </c>
      <c r="I14" s="446">
        <f>'4. sz. tábla'!D9</f>
        <v>0</v>
      </c>
      <c r="J14" s="446">
        <f>'4. sz. tábla'!E9</f>
        <v>0</v>
      </c>
    </row>
    <row r="15" spans="1:12" ht="31.5" x14ac:dyDescent="0.25">
      <c r="A15" s="444"/>
      <c r="B15" s="447"/>
      <c r="C15" s="447"/>
      <c r="D15" s="447"/>
      <c r="E15" s="447"/>
      <c r="F15" s="445" t="s">
        <v>254</v>
      </c>
      <c r="G15" s="447">
        <v>0</v>
      </c>
      <c r="H15" s="447">
        <v>0</v>
      </c>
      <c r="I15" s="447">
        <v>0</v>
      </c>
      <c r="J15" s="447">
        <v>0</v>
      </c>
    </row>
    <row r="16" spans="1:12" x14ac:dyDescent="0.25">
      <c r="A16" s="445"/>
      <c r="B16" s="447"/>
      <c r="C16" s="447"/>
      <c r="D16" s="447"/>
      <c r="E16" s="447"/>
      <c r="F16" s="445" t="s">
        <v>246</v>
      </c>
      <c r="G16" s="198">
        <f>'1.sz.tábla'!B33</f>
        <v>36121697</v>
      </c>
      <c r="H16" s="198">
        <f>'1.sz.tábla'!C33</f>
        <v>6180857</v>
      </c>
      <c r="I16" s="198">
        <f>'1.sz.tábla'!D33</f>
        <v>2734980</v>
      </c>
      <c r="J16" s="198">
        <f>'1.sz.tábla'!E33</f>
        <v>-3445877</v>
      </c>
    </row>
    <row r="17" spans="1:10" s="453" customFormat="1" x14ac:dyDescent="0.25">
      <c r="A17" s="450" t="s">
        <v>128</v>
      </c>
      <c r="B17" s="451">
        <f>SUM(B7:B16)</f>
        <v>58060196</v>
      </c>
      <c r="C17" s="451">
        <f>SUM(C7:C16)</f>
        <v>59288654</v>
      </c>
      <c r="D17" s="451">
        <f>SUM(D7:D16)</f>
        <v>61929452</v>
      </c>
      <c r="E17" s="451">
        <f>SUM(E7:E16)</f>
        <v>2640798</v>
      </c>
      <c r="F17" s="450" t="s">
        <v>129</v>
      </c>
      <c r="G17" s="452">
        <f>G7+G8+G9+G10+G11+G16+G13</f>
        <v>117211945</v>
      </c>
      <c r="H17" s="452">
        <f>H7+H8+H9+H10+H11+H16</f>
        <v>77537727</v>
      </c>
      <c r="I17" s="452">
        <f>I7+I8+I9+I10+I11+I16</f>
        <v>73972675</v>
      </c>
      <c r="J17" s="452">
        <f>J7+J8+J9+J10+J11+J16</f>
        <v>-3565052</v>
      </c>
    </row>
    <row r="18" spans="1:10" s="453" customFormat="1" x14ac:dyDescent="0.25">
      <c r="A18" s="450" t="s">
        <v>130</v>
      </c>
      <c r="B18" s="451">
        <f>B17-G17</f>
        <v>-59151749</v>
      </c>
      <c r="C18" s="451">
        <f>C17-H17</f>
        <v>-18249073</v>
      </c>
      <c r="D18" s="451">
        <f>D17-I17</f>
        <v>-12043223</v>
      </c>
      <c r="E18" s="451">
        <f>E17-J17</f>
        <v>6205850</v>
      </c>
      <c r="F18" s="450" t="s">
        <v>131</v>
      </c>
      <c r="G18" s="451"/>
      <c r="H18" s="451"/>
      <c r="I18" s="451"/>
      <c r="J18" s="451"/>
    </row>
    <row r="19" spans="1:10" s="453" customFormat="1" ht="31.5" x14ac:dyDescent="0.25">
      <c r="A19" s="450" t="s">
        <v>132</v>
      </c>
      <c r="B19" s="451">
        <f>SUM(B20)</f>
        <v>51000000</v>
      </c>
      <c r="C19" s="451">
        <f>SUM(C20)</f>
        <v>52934973</v>
      </c>
      <c r="D19" s="451">
        <f>SUM(D20)</f>
        <v>52934973</v>
      </c>
      <c r="E19" s="451">
        <f>SUM(E20)</f>
        <v>0</v>
      </c>
      <c r="F19" s="450" t="s">
        <v>133</v>
      </c>
      <c r="G19" s="454">
        <f>SUM(G20:G21)</f>
        <v>1161000</v>
      </c>
      <c r="H19" s="454">
        <f>SUM(H20:H21)</f>
        <v>1634058</v>
      </c>
      <c r="I19" s="454">
        <f>SUM(I20:I21)</f>
        <v>1634058</v>
      </c>
      <c r="J19" s="454">
        <f>SUM(J20:J21)</f>
        <v>0</v>
      </c>
    </row>
    <row r="20" spans="1:10" x14ac:dyDescent="0.25">
      <c r="A20" s="445" t="s">
        <v>134</v>
      </c>
      <c r="B20" s="198">
        <f>'2.sz.tábla'!B80</f>
        <v>51000000</v>
      </c>
      <c r="C20" s="198">
        <f>'2.sz.tábla'!C80</f>
        <v>52934973</v>
      </c>
      <c r="D20" s="198">
        <f>'2.sz.tábla'!D80</f>
        <v>52934973</v>
      </c>
      <c r="E20" s="198">
        <f>'2.sz.tábla'!E80</f>
        <v>0</v>
      </c>
      <c r="F20" s="445" t="s">
        <v>256</v>
      </c>
      <c r="G20" s="198">
        <f>'1.sz.tábla'!B38</f>
        <v>1161000</v>
      </c>
      <c r="H20" s="198">
        <f>'1.sz.tábla'!C38</f>
        <v>1634058</v>
      </c>
      <c r="I20" s="198">
        <f>'1.sz.tábla'!D38</f>
        <v>1634058</v>
      </c>
      <c r="J20" s="198">
        <f>'1.sz.tábla'!E38</f>
        <v>0</v>
      </c>
    </row>
    <row r="21" spans="1:10" s="453" customFormat="1" ht="31.5" x14ac:dyDescent="0.25">
      <c r="A21" s="450" t="s">
        <v>135</v>
      </c>
      <c r="B21" s="450">
        <f>SUM(B22:B25)</f>
        <v>30155000</v>
      </c>
      <c r="C21" s="450">
        <f>SUM(C22:C25)</f>
        <v>628058</v>
      </c>
      <c r="D21" s="450">
        <f>SUM(D22:D25)</f>
        <v>628058</v>
      </c>
      <c r="E21" s="450">
        <f>SUM(E22:E25)</f>
        <v>0</v>
      </c>
      <c r="F21" s="445" t="s">
        <v>257</v>
      </c>
      <c r="G21" s="447"/>
      <c r="H21" s="447"/>
      <c r="I21" s="447"/>
      <c r="J21" s="447"/>
    </row>
    <row r="22" spans="1:10" x14ac:dyDescent="0.25">
      <c r="A22" s="445" t="s">
        <v>136</v>
      </c>
      <c r="B22" s="447"/>
      <c r="C22" s="447"/>
      <c r="D22" s="447"/>
      <c r="E22" s="447"/>
      <c r="F22" s="445" t="s">
        <v>258</v>
      </c>
      <c r="G22" s="447"/>
      <c r="H22" s="447"/>
      <c r="I22" s="447"/>
      <c r="J22" s="447"/>
    </row>
    <row r="23" spans="1:10" x14ac:dyDescent="0.25">
      <c r="A23" s="445" t="s">
        <v>137</v>
      </c>
      <c r="B23" s="447"/>
      <c r="C23" s="447"/>
      <c r="D23" s="447"/>
      <c r="E23" s="447"/>
      <c r="F23" s="449"/>
      <c r="G23" s="447"/>
      <c r="H23" s="447"/>
      <c r="I23" s="447"/>
      <c r="J23" s="447"/>
    </row>
    <row r="24" spans="1:10" x14ac:dyDescent="0.25">
      <c r="A24" s="445" t="s">
        <v>439</v>
      </c>
      <c r="B24" s="198">
        <f>'2.sz.tábla'!B93</f>
        <v>155000</v>
      </c>
      <c r="C24" s="198">
        <f>'2.sz.tábla'!C93</f>
        <v>628058</v>
      </c>
      <c r="D24" s="198">
        <f>'2.sz.tábla'!D93</f>
        <v>628058</v>
      </c>
      <c r="E24" s="198">
        <f>'2.sz.tábla'!E93</f>
        <v>0</v>
      </c>
      <c r="F24" s="449"/>
      <c r="G24" s="447"/>
      <c r="H24" s="447"/>
      <c r="I24" s="447"/>
      <c r="J24" s="447"/>
    </row>
    <row r="25" spans="1:10" x14ac:dyDescent="0.25">
      <c r="A25" s="445" t="s">
        <v>491</v>
      </c>
      <c r="B25" s="198">
        <f>'2.sz.tábla'!B92</f>
        <v>30000000</v>
      </c>
      <c r="C25" s="198">
        <f>'2.sz.tábla'!C92</f>
        <v>0</v>
      </c>
      <c r="D25" s="198"/>
      <c r="E25" s="198">
        <f>'2.sz.tábla'!E92</f>
        <v>0</v>
      </c>
      <c r="F25" s="449"/>
      <c r="G25" s="447"/>
      <c r="H25" s="447"/>
      <c r="I25" s="447"/>
      <c r="J25" s="447"/>
    </row>
    <row r="26" spans="1:10" ht="16.5" thickBot="1" x14ac:dyDescent="0.3">
      <c r="A26" s="455" t="s">
        <v>138</v>
      </c>
      <c r="B26" s="456">
        <f>B17+B19+B21</f>
        <v>139215196</v>
      </c>
      <c r="C26" s="456">
        <f>C17+C19+C21</f>
        <v>112851685</v>
      </c>
      <c r="D26" s="456"/>
      <c r="E26" s="456">
        <f>E17+E19+E21</f>
        <v>2640798</v>
      </c>
      <c r="F26" s="455" t="s">
        <v>139</v>
      </c>
      <c r="G26" s="456">
        <f>G19+G17</f>
        <v>118372945</v>
      </c>
      <c r="H26" s="456">
        <f>H19+H17</f>
        <v>79171785</v>
      </c>
      <c r="I26" s="456">
        <f>I19+I17</f>
        <v>75606733</v>
      </c>
      <c r="J26" s="456">
        <f>J19+J17</f>
        <v>-3565052</v>
      </c>
    </row>
    <row r="28" spans="1:10" ht="15.75" customHeight="1" x14ac:dyDescent="0.25">
      <c r="A28" s="850" t="s">
        <v>497</v>
      </c>
      <c r="B28" s="850"/>
      <c r="C28" s="850"/>
      <c r="D28" s="850"/>
      <c r="E28" s="850"/>
      <c r="F28" s="850"/>
      <c r="G28" s="850"/>
      <c r="H28" s="434"/>
      <c r="I28" s="434"/>
      <c r="J28" s="434"/>
    </row>
    <row r="29" spans="1:10" ht="16.5" thickBot="1" x14ac:dyDescent="0.3"/>
    <row r="30" spans="1:10" s="436" customFormat="1" ht="16.5" thickBot="1" x14ac:dyDescent="0.3">
      <c r="A30" s="800" t="s">
        <v>140</v>
      </c>
      <c r="B30" s="801" t="s">
        <v>529</v>
      </c>
      <c r="C30" s="802" t="s">
        <v>530</v>
      </c>
      <c r="D30" s="803" t="s">
        <v>549</v>
      </c>
      <c r="E30" s="802" t="s">
        <v>531</v>
      </c>
      <c r="F30" s="439" t="s">
        <v>141</v>
      </c>
      <c r="G30" s="161" t="s">
        <v>529</v>
      </c>
      <c r="H30" s="161" t="s">
        <v>530</v>
      </c>
      <c r="I30" s="161" t="s">
        <v>549</v>
      </c>
      <c r="J30" s="435" t="s">
        <v>531</v>
      </c>
    </row>
    <row r="31" spans="1:10" ht="31.5" x14ac:dyDescent="0.25">
      <c r="A31" s="444" t="s">
        <v>142</v>
      </c>
      <c r="B31" s="198">
        <f>'1.sz.tábla'!B8</f>
        <v>0</v>
      </c>
      <c r="C31" s="198"/>
      <c r="D31" s="198"/>
      <c r="E31" s="198"/>
      <c r="F31" s="796" t="s">
        <v>143</v>
      </c>
      <c r="G31" s="788">
        <f>'1.sz.tábla'!B29</f>
        <v>2430000</v>
      </c>
      <c r="H31" s="788">
        <f>'1.sz.tábla'!C29</f>
        <v>2842522</v>
      </c>
      <c r="I31" s="788">
        <f>'1.sz.tábla'!D29</f>
        <v>6065022</v>
      </c>
      <c r="J31" s="788">
        <f>'1.sz.tábla'!E29</f>
        <v>3222500</v>
      </c>
    </row>
    <row r="32" spans="1:10" x14ac:dyDescent="0.25">
      <c r="A32" s="445" t="s">
        <v>144</v>
      </c>
      <c r="B32" s="198">
        <f>'1.sz.tábla'!B11</f>
        <v>0</v>
      </c>
      <c r="C32" s="198"/>
      <c r="D32" s="198"/>
      <c r="E32" s="198"/>
      <c r="F32" s="797" t="s">
        <v>145</v>
      </c>
      <c r="G32" s="461">
        <v>0</v>
      </c>
      <c r="H32" s="447"/>
      <c r="I32" s="447"/>
      <c r="J32" s="786"/>
    </row>
    <row r="33" spans="1:10" x14ac:dyDescent="0.25">
      <c r="A33" s="445" t="s">
        <v>146</v>
      </c>
      <c r="B33" s="198">
        <f>'1.sz.tábla'!B13</f>
        <v>0</v>
      </c>
      <c r="C33" s="198"/>
      <c r="D33" s="198"/>
      <c r="E33" s="198"/>
      <c r="F33" s="797" t="s">
        <v>147</v>
      </c>
      <c r="G33" s="461">
        <f>'1.sz.tábla'!B30</f>
        <v>30871000</v>
      </c>
      <c r="H33" s="461">
        <f>'1.sz.tábla'!C30</f>
        <v>30758478</v>
      </c>
      <c r="I33" s="461">
        <f>'1.sz.tábla'!D30</f>
        <v>33741828</v>
      </c>
      <c r="J33" s="461">
        <f>'1.sz.tábla'!E30</f>
        <v>2983350</v>
      </c>
    </row>
    <row r="34" spans="1:10" x14ac:dyDescent="0.25">
      <c r="A34" s="445"/>
      <c r="B34" s="447"/>
      <c r="C34" s="447"/>
      <c r="D34" s="447"/>
      <c r="E34" s="447"/>
      <c r="F34" s="797" t="s">
        <v>148</v>
      </c>
      <c r="G34" s="461">
        <f>SUM(G35:G38)</f>
        <v>0</v>
      </c>
      <c r="H34" s="461">
        <f>SUM(H35:H38)</f>
        <v>78900</v>
      </c>
      <c r="I34" s="461">
        <f>SUM(I35:I38)</f>
        <v>78900</v>
      </c>
      <c r="J34" s="786"/>
    </row>
    <row r="35" spans="1:10" ht="31.5" x14ac:dyDescent="0.25">
      <c r="A35" s="445"/>
      <c r="B35" s="447"/>
      <c r="C35" s="447"/>
      <c r="D35" s="447"/>
      <c r="E35" s="447"/>
      <c r="F35" s="797" t="s">
        <v>149</v>
      </c>
      <c r="G35" s="461"/>
      <c r="H35" s="447"/>
      <c r="I35" s="447"/>
      <c r="J35" s="786"/>
    </row>
    <row r="36" spans="1:10" ht="27" customHeight="1" x14ac:dyDescent="0.25">
      <c r="A36" s="445"/>
      <c r="B36" s="447"/>
      <c r="C36" s="447"/>
      <c r="D36" s="447"/>
      <c r="E36" s="447"/>
      <c r="F36" s="798" t="s">
        <v>150</v>
      </c>
      <c r="G36" s="461"/>
      <c r="H36" s="198">
        <f>'5.sz.tábla '!C39</f>
        <v>78900</v>
      </c>
      <c r="I36" s="198">
        <f>'5.sz.tábla '!D39</f>
        <v>78900</v>
      </c>
      <c r="J36" s="786"/>
    </row>
    <row r="37" spans="1:10" ht="31.5" x14ac:dyDescent="0.25">
      <c r="A37" s="445"/>
      <c r="B37" s="447"/>
      <c r="C37" s="447"/>
      <c r="D37" s="447"/>
      <c r="E37" s="447"/>
      <c r="F37" s="797" t="s">
        <v>259</v>
      </c>
      <c r="G37" s="461"/>
      <c r="H37" s="447"/>
      <c r="I37" s="447"/>
      <c r="J37" s="786"/>
    </row>
    <row r="38" spans="1:10" ht="31.5" x14ac:dyDescent="0.25">
      <c r="A38" s="445"/>
      <c r="B38" s="447"/>
      <c r="C38" s="447"/>
      <c r="D38" s="447"/>
      <c r="E38" s="447"/>
      <c r="F38" s="797" t="s">
        <v>151</v>
      </c>
      <c r="G38" s="461"/>
      <c r="H38" s="447"/>
      <c r="I38" s="447"/>
      <c r="J38" s="786"/>
    </row>
    <row r="39" spans="1:10" s="453" customFormat="1" x14ac:dyDescent="0.25">
      <c r="A39" s="450" t="s">
        <v>152</v>
      </c>
      <c r="B39" s="451">
        <f>SUM(B31:B37)</f>
        <v>0</v>
      </c>
      <c r="C39" s="451"/>
      <c r="D39" s="451"/>
      <c r="E39" s="451"/>
      <c r="F39" s="799" t="s">
        <v>153</v>
      </c>
      <c r="G39" s="452">
        <f>SUM(G31:G34)</f>
        <v>33301000</v>
      </c>
      <c r="H39" s="452">
        <f>SUM(H31:H34)</f>
        <v>33679900</v>
      </c>
      <c r="I39" s="452">
        <f>SUM(I31:I34)</f>
        <v>39885750</v>
      </c>
      <c r="J39" s="452">
        <f>SUM(J31:J34)</f>
        <v>6205850</v>
      </c>
    </row>
    <row r="40" spans="1:10" s="453" customFormat="1" x14ac:dyDescent="0.25">
      <c r="A40" s="450" t="s">
        <v>154</v>
      </c>
      <c r="B40" s="451"/>
      <c r="C40" s="451"/>
      <c r="D40" s="451"/>
      <c r="E40" s="451"/>
      <c r="F40" s="799" t="s">
        <v>155</v>
      </c>
      <c r="G40" s="452">
        <f>B39-G39</f>
        <v>-33301000</v>
      </c>
      <c r="H40" s="452">
        <f>C39-H39</f>
        <v>-33679900</v>
      </c>
      <c r="I40" s="452">
        <f>D39-I39</f>
        <v>-39885750</v>
      </c>
      <c r="J40" s="452">
        <f>E39-J39</f>
        <v>-6205850</v>
      </c>
    </row>
    <row r="41" spans="1:10" s="453" customFormat="1" ht="31.5" x14ac:dyDescent="0.25">
      <c r="A41" s="450" t="s">
        <v>156</v>
      </c>
      <c r="B41" s="451"/>
      <c r="C41" s="451"/>
      <c r="D41" s="451"/>
      <c r="E41" s="451"/>
      <c r="F41" s="799" t="s">
        <v>157</v>
      </c>
      <c r="G41" s="452">
        <f>SUM(G42:G43)</f>
        <v>0</v>
      </c>
      <c r="H41" s="451"/>
      <c r="I41" s="451"/>
      <c r="J41" s="787"/>
    </row>
    <row r="42" spans="1:10" x14ac:dyDescent="0.25">
      <c r="A42" s="445" t="s">
        <v>158</v>
      </c>
      <c r="B42" s="447">
        <v>0</v>
      </c>
      <c r="C42" s="447"/>
      <c r="D42" s="447"/>
      <c r="E42" s="447"/>
      <c r="F42" s="797" t="s">
        <v>159</v>
      </c>
      <c r="G42" s="461"/>
      <c r="H42" s="447"/>
      <c r="I42" s="447"/>
      <c r="J42" s="786"/>
    </row>
    <row r="43" spans="1:10" ht="31.5" x14ac:dyDescent="0.25">
      <c r="A43" s="450" t="s">
        <v>160</v>
      </c>
      <c r="B43" s="451">
        <f>SUM(B44:B45)</f>
        <v>0</v>
      </c>
      <c r="C43" s="451"/>
      <c r="D43" s="451"/>
      <c r="E43" s="451"/>
      <c r="F43" s="797" t="s">
        <v>161</v>
      </c>
      <c r="G43" s="461"/>
      <c r="H43" s="447"/>
      <c r="I43" s="447"/>
      <c r="J43" s="786"/>
    </row>
    <row r="44" spans="1:10" x14ac:dyDescent="0.25">
      <c r="A44" s="445" t="s">
        <v>162</v>
      </c>
      <c r="B44" s="447"/>
      <c r="C44" s="447"/>
      <c r="D44" s="447"/>
      <c r="E44" s="447"/>
      <c r="F44" s="797" t="s">
        <v>255</v>
      </c>
      <c r="G44" s="461"/>
      <c r="H44" s="447"/>
      <c r="I44" s="447"/>
      <c r="J44" s="786"/>
    </row>
    <row r="45" spans="1:10" ht="16.5" thickBot="1" x14ac:dyDescent="0.3">
      <c r="A45" s="805" t="s">
        <v>163</v>
      </c>
      <c r="B45" s="790"/>
      <c r="C45" s="790"/>
      <c r="D45" s="790"/>
      <c r="E45" s="790"/>
      <c r="F45" s="804"/>
      <c r="G45" s="789"/>
      <c r="H45" s="790"/>
      <c r="I45" s="790"/>
      <c r="J45" s="791"/>
    </row>
    <row r="46" spans="1:10" s="453" customFormat="1" ht="16.5" thickBot="1" x14ac:dyDescent="0.3">
      <c r="A46" s="457" t="s">
        <v>164</v>
      </c>
      <c r="B46" s="793">
        <f>B39+B41+B43</f>
        <v>0</v>
      </c>
      <c r="C46" s="794"/>
      <c r="D46" s="794"/>
      <c r="E46" s="795"/>
      <c r="F46" s="439" t="s">
        <v>165</v>
      </c>
      <c r="G46" s="792">
        <f>G39+G41</f>
        <v>33301000</v>
      </c>
      <c r="H46" s="792">
        <f>H39+H41</f>
        <v>33679900</v>
      </c>
      <c r="I46" s="792">
        <f>I39+I41</f>
        <v>39885750</v>
      </c>
      <c r="J46" s="792">
        <f>J39+J41</f>
        <v>6205850</v>
      </c>
    </row>
    <row r="47" spans="1:10" x14ac:dyDescent="0.25">
      <c r="A47" s="466"/>
      <c r="B47" s="463"/>
      <c r="C47" s="463"/>
      <c r="D47" s="463"/>
      <c r="E47" s="463"/>
      <c r="F47" s="466"/>
      <c r="G47" s="463"/>
      <c r="H47" s="463"/>
      <c r="I47" s="463"/>
      <c r="J47" s="463"/>
    </row>
    <row r="48" spans="1:10" ht="15.75" customHeight="1" x14ac:dyDescent="0.25">
      <c r="A48" s="850" t="s">
        <v>498</v>
      </c>
      <c r="B48" s="850"/>
      <c r="C48" s="850"/>
      <c r="D48" s="850"/>
      <c r="E48" s="850"/>
      <c r="F48" s="850"/>
      <c r="G48" s="850"/>
      <c r="H48" s="434"/>
      <c r="I48" s="434"/>
      <c r="J48" s="434"/>
    </row>
    <row r="49" spans="1:10" ht="16.5" thickBot="1" x14ac:dyDescent="0.3"/>
    <row r="50" spans="1:10" s="436" customFormat="1" ht="16.5" thickBot="1" x14ac:dyDescent="0.3">
      <c r="A50" s="457" t="s">
        <v>166</v>
      </c>
      <c r="B50" s="435" t="s">
        <v>529</v>
      </c>
      <c r="C50" s="802" t="s">
        <v>530</v>
      </c>
      <c r="D50" s="803" t="s">
        <v>549</v>
      </c>
      <c r="E50" s="817" t="s">
        <v>531</v>
      </c>
      <c r="F50" s="457" t="s">
        <v>167</v>
      </c>
      <c r="G50" s="392" t="s">
        <v>529</v>
      </c>
      <c r="H50" s="784" t="s">
        <v>530</v>
      </c>
      <c r="I50" s="784" t="s">
        <v>549</v>
      </c>
      <c r="J50" s="785" t="s">
        <v>531</v>
      </c>
    </row>
    <row r="51" spans="1:10" x14ac:dyDescent="0.25">
      <c r="A51" s="467" t="s">
        <v>168</v>
      </c>
      <c r="B51" s="458">
        <f>B17</f>
        <v>58060196</v>
      </c>
      <c r="C51" s="458">
        <f>C17</f>
        <v>59288654</v>
      </c>
      <c r="D51" s="458">
        <f>D17</f>
        <v>61929452</v>
      </c>
      <c r="E51" s="458">
        <f>E17</f>
        <v>2640798</v>
      </c>
      <c r="F51" s="814" t="s">
        <v>169</v>
      </c>
      <c r="G51" s="806">
        <f>G17</f>
        <v>117211945</v>
      </c>
      <c r="H51" s="806">
        <f>H17</f>
        <v>77537727</v>
      </c>
      <c r="I51" s="806">
        <f>I17</f>
        <v>73972675</v>
      </c>
      <c r="J51" s="818">
        <f>J17</f>
        <v>-3565052</v>
      </c>
    </row>
    <row r="52" spans="1:10" x14ac:dyDescent="0.25">
      <c r="A52" s="459" t="s">
        <v>170</v>
      </c>
      <c r="B52" s="460">
        <f>B39</f>
        <v>0</v>
      </c>
      <c r="C52" s="447"/>
      <c r="D52" s="447"/>
      <c r="E52" s="786"/>
      <c r="F52" s="459" t="s">
        <v>171</v>
      </c>
      <c r="G52" s="807">
        <f>G39</f>
        <v>33301000</v>
      </c>
      <c r="H52" s="807">
        <f>H39</f>
        <v>33679900</v>
      </c>
      <c r="I52" s="807">
        <f>I39</f>
        <v>39885750</v>
      </c>
      <c r="J52" s="819">
        <f>J39</f>
        <v>6205850</v>
      </c>
    </row>
    <row r="53" spans="1:10" s="453" customFormat="1" x14ac:dyDescent="0.25">
      <c r="A53" s="462" t="s">
        <v>11</v>
      </c>
      <c r="B53" s="469">
        <f>SUM(B51:B52)</f>
        <v>58060196</v>
      </c>
      <c r="C53" s="469">
        <f>SUM(C51:C52)</f>
        <v>59288654</v>
      </c>
      <c r="D53" s="469">
        <f>SUM(D51:D52)</f>
        <v>61929452</v>
      </c>
      <c r="E53" s="469">
        <f>SUM(E51:E52)</f>
        <v>2640798</v>
      </c>
      <c r="F53" s="462" t="s">
        <v>24</v>
      </c>
      <c r="G53" s="808">
        <f>SUM(G51:G52)</f>
        <v>150512945</v>
      </c>
      <c r="H53" s="808">
        <f>SUM(H51:H52)</f>
        <v>111217627</v>
      </c>
      <c r="I53" s="808">
        <f>SUM(I51:I52)</f>
        <v>113858425</v>
      </c>
      <c r="J53" s="820">
        <f>SUM(J51:J52)</f>
        <v>2640798</v>
      </c>
    </row>
    <row r="54" spans="1:10" s="453" customFormat="1" x14ac:dyDescent="0.25">
      <c r="A54" s="462" t="s">
        <v>172</v>
      </c>
      <c r="B54" s="469"/>
      <c r="C54" s="200"/>
      <c r="D54" s="200"/>
      <c r="E54" s="201"/>
      <c r="F54" s="462" t="s">
        <v>173</v>
      </c>
      <c r="G54" s="808">
        <f>G53-B53</f>
        <v>92452749</v>
      </c>
      <c r="H54" s="808">
        <f>H53-C53</f>
        <v>51928973</v>
      </c>
      <c r="I54" s="808">
        <f>I53-D53</f>
        <v>51928973</v>
      </c>
      <c r="J54" s="820">
        <f>J53-E53</f>
        <v>0</v>
      </c>
    </row>
    <row r="55" spans="1:10" s="453" customFormat="1" ht="31.5" x14ac:dyDescent="0.25">
      <c r="A55" s="462" t="s">
        <v>174</v>
      </c>
      <c r="B55" s="469">
        <f>SUM(B56:B57)</f>
        <v>51000000</v>
      </c>
      <c r="C55" s="469">
        <f>SUM(C56:C57)</f>
        <v>52934973</v>
      </c>
      <c r="D55" s="469">
        <f>SUM(D56:D57)</f>
        <v>52934973</v>
      </c>
      <c r="E55" s="469">
        <f>SUM(E56:E57)</f>
        <v>0</v>
      </c>
      <c r="F55" s="462" t="s">
        <v>175</v>
      </c>
      <c r="G55" s="808">
        <f>SUM(G56:G57)</f>
        <v>1161000</v>
      </c>
      <c r="H55" s="808">
        <f>SUM(H56:H57)</f>
        <v>1634058</v>
      </c>
      <c r="I55" s="808">
        <f>SUM(I56:I57)</f>
        <v>1634058</v>
      </c>
      <c r="J55" s="820">
        <f>SUM(J56:J57)</f>
        <v>0</v>
      </c>
    </row>
    <row r="56" spans="1:10" ht="31.5" x14ac:dyDescent="0.25">
      <c r="A56" s="459" t="s">
        <v>132</v>
      </c>
      <c r="B56" s="460">
        <f>B19</f>
        <v>51000000</v>
      </c>
      <c r="C56" s="460">
        <f>C19</f>
        <v>52934973</v>
      </c>
      <c r="D56" s="460">
        <f>D19</f>
        <v>52934973</v>
      </c>
      <c r="E56" s="460">
        <f>E19</f>
        <v>0</v>
      </c>
      <c r="F56" s="459" t="s">
        <v>176</v>
      </c>
      <c r="G56" s="809">
        <f>G19</f>
        <v>1161000</v>
      </c>
      <c r="H56" s="809">
        <f>H19</f>
        <v>1634058</v>
      </c>
      <c r="I56" s="809">
        <f>I19</f>
        <v>1634058</v>
      </c>
      <c r="J56" s="821">
        <f>J19</f>
        <v>0</v>
      </c>
    </row>
    <row r="57" spans="1:10" ht="31.5" x14ac:dyDescent="0.25">
      <c r="A57" s="459" t="s">
        <v>156</v>
      </c>
      <c r="B57" s="471">
        <f>B41</f>
        <v>0</v>
      </c>
      <c r="C57" s="471">
        <f>C41</f>
        <v>0</v>
      </c>
      <c r="D57" s="471">
        <f>D41</f>
        <v>0</v>
      </c>
      <c r="E57" s="471">
        <f>E41</f>
        <v>0</v>
      </c>
      <c r="F57" s="459" t="s">
        <v>177</v>
      </c>
      <c r="G57" s="809">
        <f>G41</f>
        <v>0</v>
      </c>
      <c r="H57" s="198"/>
      <c r="I57" s="198"/>
      <c r="J57" s="199"/>
    </row>
    <row r="58" spans="1:10" s="453" customFormat="1" x14ac:dyDescent="0.25">
      <c r="A58" s="462" t="s">
        <v>178</v>
      </c>
      <c r="B58" s="470">
        <f>SUM(B59:B60)</f>
        <v>30155000</v>
      </c>
      <c r="C58" s="470">
        <f>SUM(C59:C60)</f>
        <v>628058</v>
      </c>
      <c r="D58" s="470">
        <f>SUM(D59:D60)</f>
        <v>628058</v>
      </c>
      <c r="E58" s="470">
        <f>SUM(E59:E60)</f>
        <v>0</v>
      </c>
      <c r="F58" s="462"/>
      <c r="G58" s="810"/>
      <c r="H58" s="450"/>
      <c r="I58" s="450"/>
      <c r="J58" s="815"/>
    </row>
    <row r="59" spans="1:10" ht="31.5" x14ac:dyDescent="0.25">
      <c r="A59" s="459" t="s">
        <v>135</v>
      </c>
      <c r="B59" s="471">
        <f>B21</f>
        <v>30155000</v>
      </c>
      <c r="C59" s="471">
        <f>C21</f>
        <v>628058</v>
      </c>
      <c r="D59" s="471">
        <f>D21</f>
        <v>628058</v>
      </c>
      <c r="E59" s="471">
        <f>E21</f>
        <v>0</v>
      </c>
      <c r="F59" s="459"/>
      <c r="G59" s="811"/>
      <c r="H59" s="447"/>
      <c r="I59" s="447"/>
      <c r="J59" s="786"/>
    </row>
    <row r="60" spans="1:10" ht="31.5" x14ac:dyDescent="0.25">
      <c r="A60" s="464" t="s">
        <v>160</v>
      </c>
      <c r="B60" s="471">
        <f>B43</f>
        <v>0</v>
      </c>
      <c r="C60" s="471">
        <f>C43</f>
        <v>0</v>
      </c>
      <c r="D60" s="471">
        <f>D43</f>
        <v>0</v>
      </c>
      <c r="E60" s="471">
        <f>E43</f>
        <v>0</v>
      </c>
      <c r="F60" s="816"/>
      <c r="G60" s="812"/>
      <c r="H60" s="451"/>
      <c r="I60" s="451"/>
      <c r="J60" s="787"/>
    </row>
    <row r="61" spans="1:10" s="453" customFormat="1" ht="16.5" thickBot="1" x14ac:dyDescent="0.3">
      <c r="A61" s="465" t="s">
        <v>77</v>
      </c>
      <c r="B61" s="472">
        <f>B53+B55+B58</f>
        <v>139215196</v>
      </c>
      <c r="C61" s="472">
        <f>C53+C55+C58</f>
        <v>112851685</v>
      </c>
      <c r="D61" s="472">
        <f>D53+D55+D58</f>
        <v>115492483</v>
      </c>
      <c r="E61" s="472">
        <f>E53+E55+E58</f>
        <v>2640798</v>
      </c>
      <c r="F61" s="465" t="s">
        <v>179</v>
      </c>
      <c r="G61" s="813">
        <f>G53+G55</f>
        <v>151673945</v>
      </c>
      <c r="H61" s="813">
        <f>H53+H55</f>
        <v>112851685</v>
      </c>
      <c r="I61" s="813">
        <f>I53+I55</f>
        <v>115492483</v>
      </c>
      <c r="J61" s="822">
        <f>J53+J55</f>
        <v>2640798</v>
      </c>
    </row>
    <row r="62" spans="1:10" x14ac:dyDescent="0.25">
      <c r="A62" s="436" t="s">
        <v>180</v>
      </c>
    </row>
  </sheetData>
  <sheetProtection selectLockedCells="1" selectUnlockedCells="1"/>
  <mergeCells count="3">
    <mergeCell ref="A28:G28"/>
    <mergeCell ref="A48:G48"/>
    <mergeCell ref="A4:J4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55" firstPageNumber="0" orientation="landscape" r:id="rId1"/>
  <headerFooter alignWithMargins="0">
    <oddHeader>&amp;C&amp;"Times New Roman,Normál"&amp;12 6. melléklet a 11/2017. (IX. 29.) önkormányzati rendelethez
Az önkormányzat 2017. évi költségvetéséről szóló 2/2017. (II. 15.) önkormányzati rendelet 6. mellékletének helyébe a következő 6. melléklet lép:</oddHeader>
  </headerFooter>
  <rowBreaks count="2" manualBreakCount="2">
    <brk id="26" max="7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K91"/>
  <sheetViews>
    <sheetView view="pageLayout" topLeftCell="B1" zoomScaleNormal="100" zoomScaleSheetLayoutView="89" workbookViewId="0">
      <selection activeCell="A4" sqref="A4:J4"/>
    </sheetView>
  </sheetViews>
  <sheetFormatPr defaultColWidth="9.140625" defaultRowHeight="15.75" x14ac:dyDescent="0.25"/>
  <cols>
    <col min="1" max="1" width="45.7109375" style="473" customWidth="1"/>
    <col min="2" max="5" width="13.85546875" style="474" customWidth="1"/>
    <col min="6" max="6" width="45.85546875" style="474" customWidth="1"/>
    <col min="7" max="10" width="13.7109375" style="474" customWidth="1"/>
    <col min="11" max="16384" width="9.140625" style="474"/>
  </cols>
  <sheetData>
    <row r="2" spans="1:10" x14ac:dyDescent="0.25">
      <c r="F2" s="475"/>
    </row>
    <row r="4" spans="1:10" ht="15.75" customHeight="1" x14ac:dyDescent="0.25">
      <c r="A4" s="852" t="s">
        <v>495</v>
      </c>
      <c r="B4" s="852"/>
      <c r="C4" s="852"/>
      <c r="D4" s="852"/>
      <c r="E4" s="852"/>
      <c r="F4" s="852"/>
      <c r="G4" s="852"/>
      <c r="H4" s="852"/>
      <c r="I4" s="852"/>
      <c r="J4" s="852"/>
    </row>
    <row r="5" spans="1:10" ht="16.5" thickBot="1" x14ac:dyDescent="0.3"/>
    <row r="6" spans="1:10" s="473" customFormat="1" ht="31.5" x14ac:dyDescent="0.25">
      <c r="A6" s="501" t="s">
        <v>120</v>
      </c>
      <c r="B6" s="42" t="s">
        <v>493</v>
      </c>
      <c r="C6" s="42" t="s">
        <v>530</v>
      </c>
      <c r="D6" s="784" t="s">
        <v>549</v>
      </c>
      <c r="E6" s="42" t="s">
        <v>531</v>
      </c>
      <c r="F6" s="501" t="s">
        <v>121</v>
      </c>
      <c r="G6" s="42" t="s">
        <v>493</v>
      </c>
      <c r="H6" s="42" t="s">
        <v>530</v>
      </c>
      <c r="I6" s="784" t="s">
        <v>549</v>
      </c>
      <c r="J6" s="42" t="s">
        <v>531</v>
      </c>
    </row>
    <row r="7" spans="1:10" s="473" customFormat="1" x14ac:dyDescent="0.25">
      <c r="A7" s="477" t="s">
        <v>181</v>
      </c>
      <c r="B7" s="514"/>
      <c r="C7" s="515"/>
      <c r="D7" s="515"/>
      <c r="E7" s="515"/>
      <c r="F7" s="498" t="s">
        <v>16</v>
      </c>
      <c r="G7" s="517"/>
      <c r="H7" s="479"/>
      <c r="I7" s="479"/>
      <c r="J7" s="479"/>
    </row>
    <row r="8" spans="1:10" ht="31.5" x14ac:dyDescent="0.25">
      <c r="A8" s="512" t="s">
        <v>182</v>
      </c>
      <c r="B8" s="508">
        <f>'6. sz. tábla '!B7</f>
        <v>30310196</v>
      </c>
      <c r="C8" s="508">
        <f>'6. sz. tábla '!C7</f>
        <v>31538654</v>
      </c>
      <c r="D8" s="508">
        <f>'6. sz. tábla '!D7</f>
        <v>34179452</v>
      </c>
      <c r="E8" s="508">
        <f>'6. sz. tábla '!E7</f>
        <v>2640798</v>
      </c>
      <c r="F8" s="507" t="s">
        <v>107</v>
      </c>
      <c r="G8" s="508">
        <f>'6. sz. tábla '!G7</f>
        <v>15482750</v>
      </c>
      <c r="H8" s="508">
        <f>'6. sz. tábla '!H7</f>
        <v>17276568</v>
      </c>
      <c r="I8" s="508">
        <f>'6. sz. tábla '!I7</f>
        <v>17770943</v>
      </c>
      <c r="J8" s="508">
        <f>'6. sz. tábla '!J7</f>
        <v>494375</v>
      </c>
    </row>
    <row r="9" spans="1:10" ht="17.25" customHeight="1" x14ac:dyDescent="0.25">
      <c r="A9" s="507" t="s">
        <v>123</v>
      </c>
      <c r="B9" s="198">
        <f>'6. sz. tábla '!B8</f>
        <v>20450000</v>
      </c>
      <c r="C9" s="198">
        <f>'6. sz. tábla '!C8</f>
        <v>20450000</v>
      </c>
      <c r="D9" s="198">
        <f>'6. sz. tábla '!D8</f>
        <v>20450000</v>
      </c>
      <c r="E9" s="198">
        <f>'6. sz. tábla '!E8</f>
        <v>0</v>
      </c>
      <c r="F9" s="507" t="s">
        <v>104</v>
      </c>
      <c r="G9" s="508">
        <f>'6. sz. tábla '!G8</f>
        <v>3800000</v>
      </c>
      <c r="H9" s="508">
        <f>'6. sz. tábla '!H8</f>
        <v>3643137</v>
      </c>
      <c r="I9" s="508">
        <f>'6. sz. tábla '!I8</f>
        <v>3759301</v>
      </c>
      <c r="J9" s="508">
        <f>'6. sz. tábla '!J8</f>
        <v>116164</v>
      </c>
    </row>
    <row r="10" spans="1:10" x14ac:dyDescent="0.25">
      <c r="A10" s="507" t="s">
        <v>125</v>
      </c>
      <c r="B10" s="508">
        <f>'6. sz. tábla '!B9</f>
        <v>7300000</v>
      </c>
      <c r="C10" s="508">
        <f>'6. sz. tábla '!C9</f>
        <v>7300000</v>
      </c>
      <c r="D10" s="508">
        <f>'6. sz. tábla '!D9</f>
        <v>7300000</v>
      </c>
      <c r="E10" s="508">
        <f>'6. sz. tábla '!E9</f>
        <v>0</v>
      </c>
      <c r="F10" s="507" t="s">
        <v>105</v>
      </c>
      <c r="G10" s="508">
        <f>'6. sz. tábla '!G9</f>
        <v>32296000</v>
      </c>
      <c r="H10" s="508">
        <f>'6. sz. tábla '!H9</f>
        <v>33249503</v>
      </c>
      <c r="I10" s="508">
        <f>'6. sz. tábla '!I9</f>
        <v>34356503</v>
      </c>
      <c r="J10" s="508">
        <f>'6. sz. tábla '!J9</f>
        <v>1107000</v>
      </c>
    </row>
    <row r="11" spans="1:10" ht="31.5" x14ac:dyDescent="0.25">
      <c r="A11" s="444" t="s">
        <v>127</v>
      </c>
      <c r="B11" s="508">
        <f>'6. sz. tábla '!B10</f>
        <v>0</v>
      </c>
      <c r="C11" s="508">
        <f>'6. sz. tábla '!C10</f>
        <v>0</v>
      </c>
      <c r="D11" s="508"/>
      <c r="E11" s="508">
        <f>'6. sz. tábla '!E10</f>
        <v>0</v>
      </c>
      <c r="F11" s="507" t="s">
        <v>108</v>
      </c>
      <c r="G11" s="508">
        <f>'6. sz. tábla '!G10</f>
        <v>3950000</v>
      </c>
      <c r="H11" s="508">
        <f>'6. sz. tábla '!H10</f>
        <v>3950000</v>
      </c>
      <c r="I11" s="508">
        <f>'6. sz. tábla '!I10</f>
        <v>3073000</v>
      </c>
      <c r="J11" s="508">
        <f>'6. sz. tábla '!J10</f>
        <v>-877000</v>
      </c>
    </row>
    <row r="12" spans="1:10" x14ac:dyDescent="0.25">
      <c r="A12" s="507"/>
      <c r="B12" s="508"/>
      <c r="C12" s="508"/>
      <c r="D12" s="508"/>
      <c r="E12" s="508"/>
      <c r="F12" s="507" t="s">
        <v>106</v>
      </c>
      <c r="G12" s="508"/>
      <c r="H12" s="508"/>
      <c r="I12" s="508"/>
      <c r="J12" s="508"/>
    </row>
    <row r="13" spans="1:10" x14ac:dyDescent="0.25">
      <c r="A13" s="507"/>
      <c r="B13" s="508"/>
      <c r="C13" s="508"/>
      <c r="D13" s="508"/>
      <c r="E13" s="508"/>
      <c r="F13" s="445" t="s">
        <v>251</v>
      </c>
      <c r="G13" s="508">
        <f>'6. sz. tábla '!G12</f>
        <v>0</v>
      </c>
      <c r="H13" s="508">
        <f>'6. sz. tábla '!H12</f>
        <v>27813</v>
      </c>
      <c r="I13" s="508">
        <f>'6. sz. tábla '!I12</f>
        <v>27813</v>
      </c>
      <c r="J13" s="508">
        <f>'6. sz. tábla '!J12</f>
        <v>0</v>
      </c>
    </row>
    <row r="14" spans="1:10" ht="31.5" x14ac:dyDescent="0.25">
      <c r="A14" s="507"/>
      <c r="B14" s="508"/>
      <c r="C14" s="508"/>
      <c r="D14" s="508"/>
      <c r="E14" s="508"/>
      <c r="F14" s="445" t="s">
        <v>252</v>
      </c>
      <c r="G14" s="508">
        <f>'4. sz. tábla'!B7</f>
        <v>5708779</v>
      </c>
      <c r="H14" s="508">
        <f>'4. sz. tábla'!C7</f>
        <v>5708779</v>
      </c>
      <c r="I14" s="508">
        <f>'4. sz. tábla'!D5-I43</f>
        <v>11350135</v>
      </c>
      <c r="J14" s="508">
        <f>I14-H14</f>
        <v>5641356</v>
      </c>
    </row>
    <row r="15" spans="1:10" ht="31.5" x14ac:dyDescent="0.25">
      <c r="A15" s="512"/>
      <c r="B15" s="513"/>
      <c r="C15" s="513"/>
      <c r="D15" s="513"/>
      <c r="E15" s="513"/>
      <c r="F15" s="449" t="s">
        <v>253</v>
      </c>
      <c r="G15" s="508">
        <f>'6. sz. tábla '!G14</f>
        <v>0</v>
      </c>
      <c r="I15" s="508">
        <f>'6. sz. tábla '!H14</f>
        <v>0</v>
      </c>
      <c r="J15" s="508">
        <f>'6. sz. tábla '!J14</f>
        <v>0</v>
      </c>
    </row>
    <row r="16" spans="1:10" ht="31.5" x14ac:dyDescent="0.25">
      <c r="A16" s="444"/>
      <c r="B16" s="508"/>
      <c r="C16" s="508"/>
      <c r="D16" s="508"/>
      <c r="E16" s="508"/>
      <c r="F16" s="445" t="s">
        <v>254</v>
      </c>
      <c r="G16" s="508">
        <f>'6. sz. tábla '!G15</f>
        <v>0</v>
      </c>
      <c r="H16" s="508">
        <f>'6. sz. tábla '!H15</f>
        <v>0</v>
      </c>
      <c r="I16" s="508"/>
      <c r="J16" s="508">
        <f>'6. sz. tábla '!J15</f>
        <v>0</v>
      </c>
    </row>
    <row r="17" spans="1:10" x14ac:dyDescent="0.25">
      <c r="A17" s="507"/>
      <c r="B17" s="508"/>
      <c r="C17" s="508"/>
      <c r="D17" s="508"/>
      <c r="E17" s="508"/>
      <c r="F17" s="445" t="s">
        <v>246</v>
      </c>
      <c r="G17" s="508">
        <f>'6. sz. tábla '!G16</f>
        <v>36121697</v>
      </c>
      <c r="H17" s="508">
        <f>'6. sz. tábla '!H16</f>
        <v>6180857</v>
      </c>
      <c r="I17" s="508">
        <f>'6. sz. tábla '!I16</f>
        <v>2734980</v>
      </c>
      <c r="J17" s="508">
        <f>'6. sz. tábla '!J16</f>
        <v>-3445877</v>
      </c>
    </row>
    <row r="18" spans="1:10" s="489" customFormat="1" ht="31.5" x14ac:dyDescent="0.25">
      <c r="A18" s="501" t="s">
        <v>183</v>
      </c>
      <c r="B18" s="502">
        <f>SUM(B8:B17)</f>
        <v>58060196</v>
      </c>
      <c r="C18" s="502">
        <f>SUM(C8:C17)</f>
        <v>59288654</v>
      </c>
      <c r="D18" s="502">
        <f>SUM(D8:D17)</f>
        <v>61929452</v>
      </c>
      <c r="E18" s="502">
        <f>SUM(E8:E17)</f>
        <v>2640798</v>
      </c>
      <c r="F18" s="501" t="s">
        <v>184</v>
      </c>
      <c r="G18" s="502">
        <f>SUM(G8:G17)</f>
        <v>97359226</v>
      </c>
      <c r="H18" s="502">
        <f>SUM(H8:H17)</f>
        <v>70036657</v>
      </c>
      <c r="I18" s="502">
        <f>SUM(I8:I17)</f>
        <v>73072675</v>
      </c>
      <c r="J18" s="502">
        <f>SUM(J8:J17)</f>
        <v>3036018</v>
      </c>
    </row>
    <row r="19" spans="1:10" x14ac:dyDescent="0.25">
      <c r="A19" s="509" t="s">
        <v>185</v>
      </c>
      <c r="B19" s="508">
        <f>'1.sz.tábla'!B18</f>
        <v>81155000</v>
      </c>
      <c r="C19" s="508">
        <f>'1.sz.tábla'!C18</f>
        <v>53563031</v>
      </c>
      <c r="D19" s="508">
        <f>'1.sz.tábla'!D18</f>
        <v>53563031</v>
      </c>
      <c r="E19" s="508">
        <f>'1.sz.tábla'!E18</f>
        <v>0</v>
      </c>
      <c r="F19" s="509" t="s">
        <v>186</v>
      </c>
      <c r="G19" s="508">
        <f>'1.sz.tábla'!B39</f>
        <v>1161000</v>
      </c>
      <c r="H19" s="508">
        <f>'1.sz.tábla'!C39</f>
        <v>1634058</v>
      </c>
      <c r="I19" s="508">
        <f>'1.sz.tábla'!D39</f>
        <v>1634058</v>
      </c>
      <c r="J19" s="508">
        <f>'1.sz.tábla'!E39</f>
        <v>0</v>
      </c>
    </row>
    <row r="20" spans="1:10" ht="47.25" x14ac:dyDescent="0.25">
      <c r="A20" s="501" t="s">
        <v>187</v>
      </c>
      <c r="B20" s="502">
        <f>B18+B19</f>
        <v>139215196</v>
      </c>
      <c r="C20" s="502">
        <f>C18+C19</f>
        <v>112851685</v>
      </c>
      <c r="D20" s="502">
        <f>D18+D19</f>
        <v>115492483</v>
      </c>
      <c r="E20" s="502">
        <f>E18+E19</f>
        <v>2640798</v>
      </c>
      <c r="F20" s="501" t="s">
        <v>188</v>
      </c>
      <c r="G20" s="502">
        <f>G18+G19</f>
        <v>98520226</v>
      </c>
      <c r="H20" s="502">
        <f>H18+H19</f>
        <v>71670715</v>
      </c>
      <c r="I20" s="502">
        <f>I18+I19</f>
        <v>74706733</v>
      </c>
      <c r="J20" s="502">
        <f>J18+J19</f>
        <v>3036018</v>
      </c>
    </row>
    <row r="21" spans="1:10" x14ac:dyDescent="0.25">
      <c r="A21" s="477" t="s">
        <v>189</v>
      </c>
      <c r="B21" s="491"/>
      <c r="C21" s="491"/>
      <c r="D21" s="491"/>
      <c r="E21" s="491"/>
      <c r="F21" s="491" t="s">
        <v>18</v>
      </c>
      <c r="G21" s="493"/>
      <c r="H21" s="493"/>
      <c r="I21" s="493"/>
      <c r="J21" s="493"/>
    </row>
    <row r="22" spans="1:10" ht="31.5" x14ac:dyDescent="0.25">
      <c r="A22" s="444" t="s">
        <v>142</v>
      </c>
      <c r="B22" s="508">
        <f>'6. sz. tábla '!B31</f>
        <v>0</v>
      </c>
      <c r="C22" s="508">
        <f>'6. sz. tábla '!C31</f>
        <v>0</v>
      </c>
      <c r="D22" s="508"/>
      <c r="E22" s="508">
        <f>'6. sz. tábla '!E31</f>
        <v>0</v>
      </c>
      <c r="F22" s="507" t="s">
        <v>143</v>
      </c>
      <c r="G22" s="508">
        <f>'6. sz. tábla '!G31</f>
        <v>2430000</v>
      </c>
      <c r="H22" s="508">
        <f>'6. sz. tábla '!H31</f>
        <v>2842522</v>
      </c>
      <c r="I22" s="508">
        <f>'6. sz. tábla '!I31</f>
        <v>6065022</v>
      </c>
      <c r="J22" s="508">
        <f>'6. sz. tábla '!J31</f>
        <v>3222500</v>
      </c>
    </row>
    <row r="23" spans="1:10" x14ac:dyDescent="0.25">
      <c r="A23" s="445" t="s">
        <v>190</v>
      </c>
      <c r="B23" s="508">
        <f>'6. sz. tábla '!B32</f>
        <v>0</v>
      </c>
      <c r="C23" s="508">
        <f>'6. sz. tábla '!C32</f>
        <v>0</v>
      </c>
      <c r="D23" s="508"/>
      <c r="E23" s="508">
        <f>'6. sz. tábla '!E32</f>
        <v>0</v>
      </c>
      <c r="F23" s="507" t="s">
        <v>145</v>
      </c>
      <c r="G23" s="508"/>
      <c r="H23" s="508"/>
      <c r="I23" s="508"/>
      <c r="J23" s="508"/>
    </row>
    <row r="24" spans="1:10" ht="31.5" x14ac:dyDescent="0.25">
      <c r="A24" s="445" t="s">
        <v>191</v>
      </c>
      <c r="B24" s="508">
        <f>'6. sz. tábla '!B33</f>
        <v>0</v>
      </c>
      <c r="C24" s="508">
        <f>'6. sz. tábla '!C33</f>
        <v>0</v>
      </c>
      <c r="D24" s="508"/>
      <c r="E24" s="508">
        <f>'6. sz. tábla '!E33</f>
        <v>0</v>
      </c>
      <c r="F24" s="507" t="s">
        <v>147</v>
      </c>
      <c r="G24" s="508">
        <f>'6. sz. tábla '!G33</f>
        <v>30871000</v>
      </c>
      <c r="H24" s="508">
        <f>'6. sz. tábla '!H33</f>
        <v>30758478</v>
      </c>
      <c r="I24" s="508">
        <f>'6. sz. tábla '!I33</f>
        <v>33741828</v>
      </c>
      <c r="J24" s="508">
        <f>'6. sz. tábla '!J33</f>
        <v>2983350</v>
      </c>
    </row>
    <row r="25" spans="1:10" x14ac:dyDescent="0.25">
      <c r="A25" s="507"/>
      <c r="B25" s="508"/>
      <c r="C25" s="508"/>
      <c r="D25" s="508"/>
      <c r="E25" s="508"/>
      <c r="F25" s="507" t="s">
        <v>192</v>
      </c>
      <c r="G25" s="508"/>
      <c r="H25" s="508"/>
      <c r="I25" s="508"/>
      <c r="J25" s="508"/>
    </row>
    <row r="26" spans="1:10" ht="31.5" x14ac:dyDescent="0.25">
      <c r="A26" s="507"/>
      <c r="B26" s="508"/>
      <c r="C26" s="508"/>
      <c r="D26" s="508"/>
      <c r="E26" s="508"/>
      <c r="F26" s="507" t="s">
        <v>193</v>
      </c>
      <c r="G26" s="508"/>
      <c r="H26" s="508"/>
      <c r="I26" s="508"/>
      <c r="J26" s="508"/>
    </row>
    <row r="27" spans="1:10" ht="31.5" x14ac:dyDescent="0.25">
      <c r="A27" s="507"/>
      <c r="B27" s="508"/>
      <c r="C27" s="508"/>
      <c r="D27" s="508"/>
      <c r="E27" s="508"/>
      <c r="F27" s="510" t="s">
        <v>194</v>
      </c>
      <c r="G27" s="508"/>
      <c r="H27" s="508"/>
      <c r="I27" s="508"/>
      <c r="J27" s="508"/>
    </row>
    <row r="28" spans="1:10" ht="31.5" x14ac:dyDescent="0.25">
      <c r="A28" s="509"/>
      <c r="B28" s="508"/>
      <c r="C28" s="508"/>
      <c r="D28" s="508"/>
      <c r="E28" s="508"/>
      <c r="F28" s="507" t="s">
        <v>195</v>
      </c>
      <c r="G28" s="508"/>
      <c r="H28" s="508"/>
      <c r="I28" s="508"/>
      <c r="J28" s="508"/>
    </row>
    <row r="29" spans="1:10" s="489" customFormat="1" ht="31.5" x14ac:dyDescent="0.25">
      <c r="A29" s="501" t="s">
        <v>196</v>
      </c>
      <c r="B29" s="502">
        <f>SUM(B22:B28)</f>
        <v>0</v>
      </c>
      <c r="C29" s="502">
        <f>SUM(C22:C28)</f>
        <v>0</v>
      </c>
      <c r="D29" s="502"/>
      <c r="E29" s="502">
        <f>SUM(E22:E28)</f>
        <v>0</v>
      </c>
      <c r="F29" s="501" t="s">
        <v>184</v>
      </c>
      <c r="G29" s="502">
        <f>SUM(G22:G28)</f>
        <v>33301000</v>
      </c>
      <c r="H29" s="502">
        <f>SUM(H22:H28)</f>
        <v>33601000</v>
      </c>
      <c r="I29" s="502">
        <f>SUM(I22:I28)</f>
        <v>39806850</v>
      </c>
      <c r="J29" s="502">
        <f>SUM(J22:J28)</f>
        <v>6205850</v>
      </c>
    </row>
    <row r="30" spans="1:10" ht="15" customHeight="1" x14ac:dyDescent="0.25">
      <c r="A30" s="509" t="s">
        <v>185</v>
      </c>
      <c r="B30" s="508"/>
      <c r="C30" s="508"/>
      <c r="D30" s="508"/>
      <c r="E30" s="508"/>
      <c r="F30" s="509" t="s">
        <v>186</v>
      </c>
      <c r="G30" s="508"/>
      <c r="H30" s="508"/>
      <c r="I30" s="508"/>
      <c r="J30" s="508"/>
    </row>
    <row r="31" spans="1:10" ht="47.25" x14ac:dyDescent="0.25">
      <c r="A31" s="501" t="s">
        <v>197</v>
      </c>
      <c r="B31" s="502">
        <f>B29+B30</f>
        <v>0</v>
      </c>
      <c r="C31" s="502">
        <f>C29+C30</f>
        <v>0</v>
      </c>
      <c r="D31" s="502"/>
      <c r="E31" s="502">
        <f>E29+E30</f>
        <v>0</v>
      </c>
      <c r="F31" s="501" t="s">
        <v>198</v>
      </c>
      <c r="G31" s="502">
        <f>G29+G30</f>
        <v>33301000</v>
      </c>
      <c r="H31" s="502">
        <f>H29+H30</f>
        <v>33601000</v>
      </c>
      <c r="I31" s="502">
        <f>I29+I30</f>
        <v>39806850</v>
      </c>
      <c r="J31" s="502">
        <f>J29+J30</f>
        <v>6205850</v>
      </c>
    </row>
    <row r="32" spans="1:10" x14ac:dyDescent="0.25">
      <c r="B32" s="497">
        <f>B31+B20</f>
        <v>139215196</v>
      </c>
      <c r="C32" s="497">
        <f>C31+C20</f>
        <v>112851685</v>
      </c>
      <c r="D32" s="497">
        <f>D31+D20</f>
        <v>115492483</v>
      </c>
      <c r="E32" s="497">
        <f>E31+E20</f>
        <v>2640798</v>
      </c>
      <c r="G32" s="497">
        <f>G31+G20</f>
        <v>131821226</v>
      </c>
      <c r="H32" s="497">
        <f>H31+H20</f>
        <v>105271715</v>
      </c>
      <c r="I32" s="497">
        <f>I31+I20</f>
        <v>114513583</v>
      </c>
      <c r="J32" s="497">
        <f>J31+J20</f>
        <v>9241868</v>
      </c>
    </row>
    <row r="33" spans="1:10" ht="15.75" customHeight="1" x14ac:dyDescent="0.25">
      <c r="A33" s="852" t="s">
        <v>494</v>
      </c>
      <c r="B33" s="852"/>
      <c r="C33" s="852"/>
      <c r="D33" s="852"/>
      <c r="E33" s="852"/>
      <c r="F33" s="852"/>
    </row>
    <row r="34" spans="1:10" ht="16.5" thickBot="1" x14ac:dyDescent="0.3"/>
    <row r="35" spans="1:10" s="473" customFormat="1" ht="31.5" x14ac:dyDescent="0.25">
      <c r="A35" s="501" t="s">
        <v>120</v>
      </c>
      <c r="B35" s="42" t="s">
        <v>493</v>
      </c>
      <c r="C35" s="42" t="s">
        <v>530</v>
      </c>
      <c r="D35" s="784" t="s">
        <v>549</v>
      </c>
      <c r="E35" s="42" t="s">
        <v>531</v>
      </c>
      <c r="F35" s="501" t="s">
        <v>121</v>
      </c>
      <c r="G35" s="42" t="s">
        <v>493</v>
      </c>
      <c r="H35" s="42" t="s">
        <v>530</v>
      </c>
      <c r="I35" s="784" t="s">
        <v>549</v>
      </c>
      <c r="J35" s="42" t="s">
        <v>531</v>
      </c>
    </row>
    <row r="36" spans="1:10" x14ac:dyDescent="0.25">
      <c r="A36" s="477" t="s">
        <v>181</v>
      </c>
      <c r="B36" s="514"/>
      <c r="C36" s="515"/>
      <c r="D36" s="515"/>
      <c r="E36" s="515"/>
      <c r="F36" s="498" t="s">
        <v>16</v>
      </c>
      <c r="G36" s="516"/>
      <c r="H36" s="516"/>
      <c r="I36" s="516"/>
      <c r="J36" s="516"/>
    </row>
    <row r="37" spans="1:10" ht="31.5" x14ac:dyDescent="0.25">
      <c r="A37" s="512" t="s">
        <v>182</v>
      </c>
      <c r="B37" s="508"/>
      <c r="C37" s="508"/>
      <c r="D37" s="508"/>
      <c r="E37" s="508"/>
      <c r="F37" s="507" t="s">
        <v>107</v>
      </c>
      <c r="G37" s="508"/>
      <c r="H37" s="508"/>
      <c r="I37" s="508"/>
      <c r="J37" s="508"/>
    </row>
    <row r="38" spans="1:10" x14ac:dyDescent="0.25">
      <c r="A38" s="507" t="s">
        <v>123</v>
      </c>
      <c r="B38" s="508"/>
      <c r="C38" s="508"/>
      <c r="D38" s="508"/>
      <c r="E38" s="508"/>
      <c r="F38" s="507" t="s">
        <v>104</v>
      </c>
      <c r="G38" s="508"/>
      <c r="H38" s="508"/>
      <c r="I38" s="508"/>
      <c r="J38" s="508"/>
    </row>
    <row r="39" spans="1:10" x14ac:dyDescent="0.25">
      <c r="A39" s="507" t="s">
        <v>125</v>
      </c>
      <c r="B39" s="508"/>
      <c r="C39" s="508"/>
      <c r="D39" s="508"/>
      <c r="E39" s="508"/>
      <c r="F39" s="507" t="s">
        <v>105</v>
      </c>
      <c r="G39" s="508"/>
      <c r="H39" s="508"/>
      <c r="I39" s="508"/>
      <c r="J39" s="508"/>
    </row>
    <row r="40" spans="1:10" ht="31.5" x14ac:dyDescent="0.25">
      <c r="A40" s="444" t="s">
        <v>127</v>
      </c>
      <c r="B40" s="508"/>
      <c r="C40" s="508"/>
      <c r="D40" s="508"/>
      <c r="E40" s="508"/>
      <c r="F40" s="507" t="s">
        <v>108</v>
      </c>
      <c r="G40" s="508"/>
      <c r="H40" s="508"/>
      <c r="I40" s="508"/>
      <c r="J40" s="508"/>
    </row>
    <row r="41" spans="1:10" x14ac:dyDescent="0.25">
      <c r="A41" s="507"/>
      <c r="B41" s="508"/>
      <c r="C41" s="508"/>
      <c r="D41" s="508"/>
      <c r="E41" s="508"/>
      <c r="F41" s="507" t="s">
        <v>106</v>
      </c>
      <c r="G41" s="508"/>
      <c r="H41" s="508"/>
      <c r="I41" s="508"/>
      <c r="J41" s="508"/>
    </row>
    <row r="42" spans="1:10" x14ac:dyDescent="0.25">
      <c r="A42" s="507"/>
      <c r="B42" s="508"/>
      <c r="C42" s="508"/>
      <c r="D42" s="508"/>
      <c r="E42" s="508"/>
      <c r="F42" s="445" t="s">
        <v>251</v>
      </c>
      <c r="G42" s="508"/>
      <c r="H42" s="508"/>
      <c r="I42" s="508"/>
      <c r="J42" s="508"/>
    </row>
    <row r="43" spans="1:10" ht="31.5" x14ac:dyDescent="0.25">
      <c r="A43" s="507"/>
      <c r="B43" s="508"/>
      <c r="C43" s="508"/>
      <c r="D43" s="508"/>
      <c r="E43" s="508"/>
      <c r="F43" s="445" t="s">
        <v>252</v>
      </c>
      <c r="G43" s="508">
        <f>'4. sz. tábla'!B6+'4. sz. tábla'!B11+'4. sz. tábla'!B12</f>
        <v>6749970</v>
      </c>
      <c r="H43" s="508">
        <f>'4. sz. tábla'!C6+'4. sz. tábla'!C11+'4. sz. tábla'!C12</f>
        <v>6671070</v>
      </c>
      <c r="I43" s="508">
        <f>'4. sz. tábla'!D13+300000</f>
        <v>600000</v>
      </c>
      <c r="J43" s="508">
        <f>I43-H43</f>
        <v>-6071070</v>
      </c>
    </row>
    <row r="44" spans="1:10" ht="31.5" x14ac:dyDescent="0.25">
      <c r="A44" s="512"/>
      <c r="B44" s="513"/>
      <c r="C44" s="513"/>
      <c r="D44" s="513"/>
      <c r="E44" s="513"/>
      <c r="F44" s="449" t="s">
        <v>253</v>
      </c>
      <c r="G44" s="508">
        <f>'4. sz. tábla'!B16+'4. sz. tábla'!B27</f>
        <v>644000</v>
      </c>
      <c r="H44" s="508">
        <f>'4. sz. tábla'!C16+'4. sz. tábla'!C27</f>
        <v>760000</v>
      </c>
      <c r="I44" s="508">
        <f>'4. sz. tábla'!D16+'4. sz. tábla'!D27</f>
        <v>230000</v>
      </c>
      <c r="J44" s="508">
        <f>I44-H44</f>
        <v>-530000</v>
      </c>
    </row>
    <row r="45" spans="1:10" ht="31.5" x14ac:dyDescent="0.25">
      <c r="A45" s="444"/>
      <c r="B45" s="508"/>
      <c r="C45" s="508"/>
      <c r="D45" s="508"/>
      <c r="E45" s="508"/>
      <c r="F45" s="445" t="s">
        <v>254</v>
      </c>
      <c r="G45" s="508"/>
      <c r="H45" s="508"/>
      <c r="I45" s="508"/>
      <c r="J45" s="508"/>
    </row>
    <row r="46" spans="1:10" x14ac:dyDescent="0.25">
      <c r="A46" s="507"/>
      <c r="B46" s="508"/>
      <c r="C46" s="508"/>
      <c r="D46" s="508"/>
      <c r="E46" s="508"/>
      <c r="F46" s="445" t="s">
        <v>246</v>
      </c>
      <c r="G46" s="508"/>
      <c r="H46" s="508"/>
      <c r="I46" s="508"/>
      <c r="J46" s="508"/>
    </row>
    <row r="47" spans="1:10" ht="31.5" x14ac:dyDescent="0.25">
      <c r="A47" s="501" t="s">
        <v>199</v>
      </c>
      <c r="B47" s="502">
        <f>SUM(B37:B46)</f>
        <v>0</v>
      </c>
      <c r="C47" s="502"/>
      <c r="D47" s="502"/>
      <c r="E47" s="502"/>
      <c r="F47" s="501" t="s">
        <v>200</v>
      </c>
      <c r="G47" s="502">
        <f>SUM(G37:G46)</f>
        <v>7393970</v>
      </c>
      <c r="H47" s="502">
        <f>SUM(H37:H46)</f>
        <v>7431070</v>
      </c>
      <c r="I47" s="502">
        <f>SUM(I37:I46)</f>
        <v>830000</v>
      </c>
      <c r="J47" s="502">
        <f>SUM(J37:J46)</f>
        <v>-6601070</v>
      </c>
    </row>
    <row r="48" spans="1:10" x14ac:dyDescent="0.25">
      <c r="A48" s="509" t="s">
        <v>185</v>
      </c>
      <c r="B48" s="508"/>
      <c r="C48" s="508"/>
      <c r="D48" s="508"/>
      <c r="E48" s="508"/>
      <c r="F48" s="509" t="s">
        <v>186</v>
      </c>
      <c r="G48" s="508"/>
      <c r="H48" s="508"/>
      <c r="I48" s="508"/>
      <c r="J48" s="508"/>
    </row>
    <row r="49" spans="1:10" ht="47.25" x14ac:dyDescent="0.25">
      <c r="A49" s="501" t="s">
        <v>201</v>
      </c>
      <c r="B49" s="502">
        <f>B47+B48</f>
        <v>0</v>
      </c>
      <c r="C49" s="502"/>
      <c r="D49" s="502"/>
      <c r="E49" s="502"/>
      <c r="F49" s="501" t="s">
        <v>202</v>
      </c>
      <c r="G49" s="502">
        <f>G47+G48</f>
        <v>7393970</v>
      </c>
      <c r="H49" s="502">
        <f>H47+H48</f>
        <v>7431070</v>
      </c>
      <c r="I49" s="502">
        <f>I47+I48</f>
        <v>830000</v>
      </c>
      <c r="J49" s="502">
        <f>J47+J48</f>
        <v>-6601070</v>
      </c>
    </row>
    <row r="50" spans="1:10" x14ac:dyDescent="0.25">
      <c r="A50" s="477" t="s">
        <v>189</v>
      </c>
      <c r="B50" s="491"/>
      <c r="C50" s="491"/>
      <c r="D50" s="491"/>
      <c r="E50" s="491"/>
      <c r="F50" s="491" t="s">
        <v>18</v>
      </c>
      <c r="G50" s="493"/>
      <c r="H50" s="493"/>
      <c r="I50" s="493"/>
      <c r="J50" s="493"/>
    </row>
    <row r="51" spans="1:10" ht="31.5" x14ac:dyDescent="0.25">
      <c r="A51" s="444" t="s">
        <v>142</v>
      </c>
      <c r="B51" s="508"/>
      <c r="C51" s="508"/>
      <c r="D51" s="508"/>
      <c r="E51" s="508"/>
      <c r="F51" s="507" t="s">
        <v>143</v>
      </c>
      <c r="G51" s="508"/>
      <c r="H51" s="508"/>
      <c r="I51" s="508"/>
      <c r="J51" s="508"/>
    </row>
    <row r="52" spans="1:10" x14ac:dyDescent="0.25">
      <c r="A52" s="445" t="s">
        <v>190</v>
      </c>
      <c r="B52" s="508"/>
      <c r="C52" s="508"/>
      <c r="D52" s="508"/>
      <c r="E52" s="508"/>
      <c r="F52" s="507" t="s">
        <v>145</v>
      </c>
      <c r="G52" s="508"/>
      <c r="H52" s="508"/>
      <c r="I52" s="508"/>
      <c r="J52" s="508"/>
    </row>
    <row r="53" spans="1:10" ht="31.5" x14ac:dyDescent="0.25">
      <c r="A53" s="445" t="s">
        <v>191</v>
      </c>
      <c r="B53" s="511"/>
      <c r="C53" s="511"/>
      <c r="D53" s="511"/>
      <c r="E53" s="511"/>
      <c r="F53" s="507" t="s">
        <v>147</v>
      </c>
      <c r="G53" s="508"/>
      <c r="H53" s="508"/>
      <c r="I53" s="508"/>
      <c r="J53" s="508"/>
    </row>
    <row r="54" spans="1:10" x14ac:dyDescent="0.25">
      <c r="A54" s="507"/>
      <c r="B54" s="508"/>
      <c r="C54" s="508"/>
      <c r="D54" s="508"/>
      <c r="E54" s="508"/>
      <c r="F54" s="507" t="s">
        <v>192</v>
      </c>
      <c r="G54" s="508"/>
      <c r="H54" s="508"/>
      <c r="I54" s="508"/>
      <c r="J54" s="508"/>
    </row>
    <row r="55" spans="1:10" ht="31.5" x14ac:dyDescent="0.25">
      <c r="A55" s="507"/>
      <c r="B55" s="508"/>
      <c r="C55" s="508"/>
      <c r="D55" s="508"/>
      <c r="E55" s="508"/>
      <c r="F55" s="507" t="s">
        <v>193</v>
      </c>
      <c r="G55" s="508"/>
      <c r="H55" s="508"/>
      <c r="I55" s="508"/>
      <c r="J55" s="508"/>
    </row>
    <row r="56" spans="1:10" ht="31.5" x14ac:dyDescent="0.25">
      <c r="A56" s="507"/>
      <c r="B56" s="508"/>
      <c r="C56" s="508"/>
      <c r="D56" s="508"/>
      <c r="E56" s="508"/>
      <c r="F56" s="510" t="s">
        <v>194</v>
      </c>
      <c r="G56" s="508"/>
      <c r="H56" s="508"/>
      <c r="I56" s="508"/>
      <c r="J56" s="508"/>
    </row>
    <row r="57" spans="1:10" ht="31.5" x14ac:dyDescent="0.25">
      <c r="A57" s="509"/>
      <c r="B57" s="508"/>
      <c r="C57" s="508"/>
      <c r="D57" s="508"/>
      <c r="E57" s="508"/>
      <c r="F57" s="445" t="s">
        <v>259</v>
      </c>
      <c r="G57" s="508"/>
      <c r="H57" s="508"/>
      <c r="I57" s="508"/>
      <c r="J57" s="508"/>
    </row>
    <row r="58" spans="1:10" ht="31.5" x14ac:dyDescent="0.25">
      <c r="A58" s="509"/>
      <c r="B58" s="508"/>
      <c r="C58" s="508"/>
      <c r="D58" s="508"/>
      <c r="E58" s="508"/>
      <c r="F58" s="445" t="s">
        <v>195</v>
      </c>
      <c r="G58" s="508"/>
      <c r="H58" s="508"/>
      <c r="I58" s="508"/>
      <c r="J58" s="508"/>
    </row>
    <row r="59" spans="1:10" ht="31.5" x14ac:dyDescent="0.25">
      <c r="A59" s="501" t="s">
        <v>203</v>
      </c>
      <c r="B59" s="502">
        <f>SUM(B51:B57)</f>
        <v>0</v>
      </c>
      <c r="C59" s="502"/>
      <c r="D59" s="502"/>
      <c r="E59" s="502"/>
      <c r="F59" s="501" t="s">
        <v>204</v>
      </c>
      <c r="G59" s="502">
        <f>SUM(G51:G58)</f>
        <v>0</v>
      </c>
      <c r="H59" s="502">
        <f>SUM(H51:H58)</f>
        <v>0</v>
      </c>
      <c r="I59" s="502"/>
      <c r="J59" s="502">
        <f>SUM(J51:J58)</f>
        <v>0</v>
      </c>
    </row>
    <row r="60" spans="1:10" x14ac:dyDescent="0.25">
      <c r="A60" s="509" t="s">
        <v>185</v>
      </c>
      <c r="B60" s="508"/>
      <c r="C60" s="508"/>
      <c r="D60" s="508"/>
      <c r="E60" s="508"/>
      <c r="F60" s="509" t="s">
        <v>186</v>
      </c>
      <c r="G60" s="508"/>
      <c r="H60" s="508"/>
      <c r="I60" s="508"/>
      <c r="J60" s="508"/>
    </row>
    <row r="61" spans="1:10" x14ac:dyDescent="0.25">
      <c r="A61" s="509"/>
      <c r="B61" s="508"/>
      <c r="C61" s="508"/>
      <c r="D61" s="508"/>
      <c r="E61" s="508"/>
      <c r="F61" s="507"/>
      <c r="G61" s="508"/>
      <c r="H61" s="508"/>
      <c r="I61" s="508"/>
      <c r="J61" s="508"/>
    </row>
    <row r="62" spans="1:10" ht="47.25" x14ac:dyDescent="0.25">
      <c r="A62" s="501" t="s">
        <v>205</v>
      </c>
      <c r="B62" s="502">
        <f>B59+B60</f>
        <v>0</v>
      </c>
      <c r="C62" s="502"/>
      <c r="D62" s="502"/>
      <c r="E62" s="502"/>
      <c r="F62" s="501" t="s">
        <v>206</v>
      </c>
      <c r="G62" s="502">
        <f>G59+G60</f>
        <v>0</v>
      </c>
      <c r="H62" s="502">
        <f>H59+H60</f>
        <v>0</v>
      </c>
      <c r="I62" s="502"/>
      <c r="J62" s="502">
        <f>J59+J60</f>
        <v>0</v>
      </c>
    </row>
    <row r="63" spans="1:10" x14ac:dyDescent="0.25">
      <c r="A63" s="498"/>
      <c r="B63" s="499">
        <f>B62+B49</f>
        <v>0</v>
      </c>
      <c r="C63" s="499">
        <f>C62+C49</f>
        <v>0</v>
      </c>
      <c r="D63" s="499"/>
      <c r="E63" s="499">
        <f>E62+E49</f>
        <v>0</v>
      </c>
      <c r="F63" s="491"/>
      <c r="G63" s="497">
        <f>G62+G49</f>
        <v>7393970</v>
      </c>
      <c r="H63" s="497">
        <f>H62+H49</f>
        <v>7431070</v>
      </c>
      <c r="I63" s="497"/>
      <c r="J63" s="497">
        <f>J62+J49</f>
        <v>-6601070</v>
      </c>
    </row>
    <row r="64" spans="1:10" ht="15.75" customHeight="1" x14ac:dyDescent="0.25">
      <c r="A64" s="852" t="s">
        <v>496</v>
      </c>
      <c r="B64" s="852"/>
      <c r="C64" s="852"/>
      <c r="D64" s="852"/>
      <c r="E64" s="852"/>
      <c r="F64" s="852"/>
    </row>
    <row r="65" spans="1:10" ht="16.5" thickBot="1" x14ac:dyDescent="0.3"/>
    <row r="66" spans="1:10" s="473" customFormat="1" ht="31.5" x14ac:dyDescent="0.25">
      <c r="A66" s="476" t="s">
        <v>120</v>
      </c>
      <c r="B66" s="42" t="s">
        <v>493</v>
      </c>
      <c r="C66" s="42" t="s">
        <v>530</v>
      </c>
      <c r="D66" s="784" t="s">
        <v>549</v>
      </c>
      <c r="E66" s="42" t="s">
        <v>531</v>
      </c>
      <c r="F66" s="501" t="s">
        <v>121</v>
      </c>
      <c r="G66" s="42" t="s">
        <v>493</v>
      </c>
      <c r="H66" s="42" t="s">
        <v>530</v>
      </c>
      <c r="I66" s="784" t="s">
        <v>549</v>
      </c>
      <c r="J66" s="42" t="s">
        <v>531</v>
      </c>
    </row>
    <row r="67" spans="1:10" x14ac:dyDescent="0.25">
      <c r="A67" s="500" t="s">
        <v>181</v>
      </c>
      <c r="B67" s="514"/>
      <c r="C67" s="515"/>
      <c r="D67" s="515"/>
      <c r="E67" s="515"/>
      <c r="F67" s="518" t="s">
        <v>16</v>
      </c>
      <c r="G67" s="516"/>
      <c r="H67" s="516"/>
      <c r="I67" s="516"/>
      <c r="J67" s="516"/>
    </row>
    <row r="68" spans="1:10" ht="31.5" x14ac:dyDescent="0.25">
      <c r="A68" s="480" t="s">
        <v>182</v>
      </c>
      <c r="B68" s="508"/>
      <c r="C68" s="508"/>
      <c r="D68" s="508"/>
      <c r="E68" s="508"/>
      <c r="F68" s="507" t="s">
        <v>107</v>
      </c>
      <c r="G68" s="508"/>
      <c r="H68" s="508"/>
      <c r="I68" s="508"/>
      <c r="J68" s="508"/>
    </row>
    <row r="69" spans="1:10" x14ac:dyDescent="0.25">
      <c r="A69" s="482" t="s">
        <v>123</v>
      </c>
      <c r="B69" s="508"/>
      <c r="C69" s="508"/>
      <c r="D69" s="508"/>
      <c r="E69" s="508"/>
      <c r="F69" s="507" t="s">
        <v>104</v>
      </c>
      <c r="G69" s="508"/>
      <c r="H69" s="508"/>
      <c r="I69" s="508"/>
      <c r="J69" s="508"/>
    </row>
    <row r="70" spans="1:10" x14ac:dyDescent="0.25">
      <c r="A70" s="484" t="s">
        <v>125</v>
      </c>
      <c r="B70" s="508"/>
      <c r="C70" s="508"/>
      <c r="D70" s="508"/>
      <c r="E70" s="508"/>
      <c r="F70" s="507" t="s">
        <v>126</v>
      </c>
      <c r="G70" s="508"/>
      <c r="H70" s="508"/>
      <c r="I70" s="508"/>
      <c r="J70" s="508"/>
    </row>
    <row r="71" spans="1:10" ht="31.5" x14ac:dyDescent="0.25">
      <c r="A71" s="486" t="s">
        <v>127</v>
      </c>
      <c r="B71" s="508"/>
      <c r="C71" s="508"/>
      <c r="D71" s="508"/>
      <c r="E71" s="508"/>
      <c r="F71" s="507" t="s">
        <v>108</v>
      </c>
      <c r="G71" s="508"/>
      <c r="H71" s="508"/>
      <c r="I71" s="508"/>
      <c r="J71" s="508"/>
    </row>
    <row r="72" spans="1:10" x14ac:dyDescent="0.25">
      <c r="A72" s="482"/>
      <c r="B72" s="508"/>
      <c r="C72" s="508"/>
      <c r="D72" s="508"/>
      <c r="E72" s="508"/>
      <c r="F72" s="507" t="s">
        <v>106</v>
      </c>
      <c r="G72" s="508"/>
      <c r="H72" s="508"/>
      <c r="I72" s="508"/>
      <c r="J72" s="508"/>
    </row>
    <row r="73" spans="1:10" x14ac:dyDescent="0.25">
      <c r="A73" s="484"/>
      <c r="B73" s="508"/>
      <c r="C73" s="508"/>
      <c r="D73" s="508"/>
      <c r="E73" s="508"/>
      <c r="F73" s="445" t="s">
        <v>251</v>
      </c>
      <c r="G73" s="508"/>
      <c r="H73" s="508"/>
      <c r="I73" s="508"/>
      <c r="J73" s="508"/>
    </row>
    <row r="74" spans="1:10" ht="31.5" x14ac:dyDescent="0.25">
      <c r="A74" s="484"/>
      <c r="B74" s="508"/>
      <c r="C74" s="508"/>
      <c r="D74" s="508"/>
      <c r="E74" s="508"/>
      <c r="F74" s="445" t="s">
        <v>252</v>
      </c>
      <c r="G74" s="508"/>
      <c r="H74" s="508"/>
      <c r="I74" s="508"/>
      <c r="J74" s="508"/>
    </row>
    <row r="75" spans="1:10" ht="31.5" x14ac:dyDescent="0.25">
      <c r="A75" s="480"/>
      <c r="B75" s="513"/>
      <c r="C75" s="513"/>
      <c r="D75" s="513"/>
      <c r="E75" s="513"/>
      <c r="F75" s="449" t="s">
        <v>253</v>
      </c>
      <c r="G75" s="508"/>
      <c r="H75" s="508"/>
      <c r="I75" s="508"/>
      <c r="J75" s="508"/>
    </row>
    <row r="76" spans="1:10" ht="31.5" x14ac:dyDescent="0.25">
      <c r="A76" s="486"/>
      <c r="B76" s="508"/>
      <c r="C76" s="508"/>
      <c r="D76" s="508"/>
      <c r="E76" s="508"/>
      <c r="F76" s="445" t="s">
        <v>254</v>
      </c>
      <c r="G76" s="508"/>
      <c r="H76" s="508"/>
      <c r="I76" s="508"/>
      <c r="J76" s="508"/>
    </row>
    <row r="77" spans="1:10" x14ac:dyDescent="0.25">
      <c r="A77" s="503"/>
      <c r="B77" s="508"/>
      <c r="C77" s="508"/>
      <c r="D77" s="508"/>
      <c r="E77" s="508"/>
      <c r="F77" s="445" t="s">
        <v>246</v>
      </c>
      <c r="G77" s="508"/>
      <c r="H77" s="508"/>
      <c r="I77" s="508"/>
      <c r="J77" s="508"/>
    </row>
    <row r="78" spans="1:10" ht="31.5" x14ac:dyDescent="0.25">
      <c r="A78" s="476" t="s">
        <v>207</v>
      </c>
      <c r="B78" s="502">
        <f>SUM(B68:B77)</f>
        <v>0</v>
      </c>
      <c r="C78" s="502">
        <f>SUM(C68:C77)</f>
        <v>0</v>
      </c>
      <c r="D78" s="502"/>
      <c r="E78" s="502">
        <f>SUM(E68:E77)</f>
        <v>0</v>
      </c>
      <c r="F78" s="501" t="s">
        <v>208</v>
      </c>
      <c r="G78" s="502">
        <f>SUM(G68:G77)</f>
        <v>0</v>
      </c>
      <c r="H78" s="502">
        <f>SUM(H68:H77)</f>
        <v>0</v>
      </c>
      <c r="I78" s="502"/>
      <c r="J78" s="502">
        <f>SUM(J68:J77)</f>
        <v>0</v>
      </c>
    </row>
    <row r="79" spans="1:10" x14ac:dyDescent="0.25">
      <c r="A79" s="478" t="s">
        <v>185</v>
      </c>
      <c r="B79" s="508"/>
      <c r="C79" s="508"/>
      <c r="D79" s="508"/>
      <c r="E79" s="508"/>
      <c r="F79" s="509" t="s">
        <v>186</v>
      </c>
      <c r="G79" s="508"/>
      <c r="H79" s="508"/>
      <c r="I79" s="508"/>
      <c r="J79" s="508"/>
    </row>
    <row r="80" spans="1:10" ht="47.25" x14ac:dyDescent="0.25">
      <c r="A80" s="476" t="s">
        <v>209</v>
      </c>
      <c r="B80" s="502">
        <f>B78+B79</f>
        <v>0</v>
      </c>
      <c r="C80" s="502">
        <f>C78+C79</f>
        <v>0</v>
      </c>
      <c r="D80" s="502"/>
      <c r="E80" s="502">
        <f>E78+E79</f>
        <v>0</v>
      </c>
      <c r="F80" s="501" t="s">
        <v>210</v>
      </c>
      <c r="G80" s="502">
        <f>G78+G79</f>
        <v>0</v>
      </c>
      <c r="H80" s="502">
        <f>H78+H79</f>
        <v>0</v>
      </c>
      <c r="I80" s="502"/>
      <c r="J80" s="502">
        <f>J78+J79</f>
        <v>0</v>
      </c>
    </row>
    <row r="81" spans="1:11" x14ac:dyDescent="0.25">
      <c r="A81" s="476" t="s">
        <v>189</v>
      </c>
      <c r="B81" s="491"/>
      <c r="C81" s="491"/>
      <c r="D81" s="491"/>
      <c r="E81" s="491"/>
      <c r="F81" s="492" t="s">
        <v>18</v>
      </c>
      <c r="G81" s="493"/>
      <c r="H81" s="493"/>
      <c r="I81" s="493"/>
      <c r="J81" s="493"/>
    </row>
    <row r="82" spans="1:11" ht="31.5" x14ac:dyDescent="0.25">
      <c r="A82" s="486" t="s">
        <v>142</v>
      </c>
      <c r="B82" s="502"/>
      <c r="C82" s="502"/>
      <c r="D82" s="502"/>
      <c r="E82" s="502"/>
      <c r="F82" s="481" t="s">
        <v>143</v>
      </c>
      <c r="G82" s="485"/>
      <c r="H82" s="485"/>
      <c r="I82" s="485"/>
      <c r="J82" s="485"/>
    </row>
    <row r="83" spans="1:11" x14ac:dyDescent="0.25">
      <c r="A83" s="519" t="s">
        <v>190</v>
      </c>
      <c r="B83" s="508"/>
      <c r="C83" s="508"/>
      <c r="D83" s="508"/>
      <c r="E83" s="508"/>
      <c r="F83" s="483" t="s">
        <v>145</v>
      </c>
      <c r="G83" s="485"/>
      <c r="H83" s="485"/>
      <c r="I83" s="485"/>
      <c r="J83" s="485"/>
    </row>
    <row r="84" spans="1:11" ht="31.5" x14ac:dyDescent="0.25">
      <c r="A84" s="519" t="s">
        <v>191</v>
      </c>
      <c r="B84" s="521"/>
      <c r="C84" s="521"/>
      <c r="D84" s="521"/>
      <c r="E84" s="521"/>
      <c r="F84" s="483" t="s">
        <v>147</v>
      </c>
      <c r="G84" s="485"/>
      <c r="H84" s="485"/>
      <c r="I84" s="485"/>
      <c r="J84" s="485"/>
    </row>
    <row r="85" spans="1:11" x14ac:dyDescent="0.25">
      <c r="A85" s="503"/>
      <c r="B85" s="520"/>
      <c r="C85" s="494"/>
      <c r="D85" s="494"/>
      <c r="E85" s="494"/>
      <c r="F85" s="505" t="s">
        <v>192</v>
      </c>
      <c r="G85" s="504"/>
      <c r="H85" s="504"/>
      <c r="I85" s="504"/>
      <c r="J85" s="504"/>
    </row>
    <row r="86" spans="1:11" ht="31.5" x14ac:dyDescent="0.25">
      <c r="A86" s="501" t="s">
        <v>203</v>
      </c>
      <c r="B86" s="502">
        <f>SUM(B82:B84)</f>
        <v>0</v>
      </c>
      <c r="C86" s="502">
        <f>SUM(C82:C84)</f>
        <v>0</v>
      </c>
      <c r="D86" s="502"/>
      <c r="E86" s="502">
        <f>SUM(E82:E84)</f>
        <v>0</v>
      </c>
      <c r="F86" s="507" t="s">
        <v>193</v>
      </c>
      <c r="G86" s="508"/>
      <c r="H86" s="508"/>
      <c r="I86" s="508"/>
      <c r="J86" s="508"/>
    </row>
    <row r="87" spans="1:11" ht="31.5" x14ac:dyDescent="0.25">
      <c r="A87" s="509" t="s">
        <v>185</v>
      </c>
      <c r="B87" s="508"/>
      <c r="C87" s="508"/>
      <c r="D87" s="508"/>
      <c r="E87" s="508"/>
      <c r="F87" s="510" t="s">
        <v>194</v>
      </c>
      <c r="G87" s="508"/>
      <c r="H87" s="508"/>
      <c r="I87" s="508"/>
      <c r="J87" s="508"/>
    </row>
    <row r="88" spans="1:11" ht="31.5" x14ac:dyDescent="0.25">
      <c r="A88" s="495"/>
      <c r="B88" s="506"/>
      <c r="C88" s="487"/>
      <c r="D88" s="487"/>
      <c r="E88" s="487"/>
      <c r="F88" s="468" t="s">
        <v>151</v>
      </c>
      <c r="G88" s="506"/>
      <c r="H88" s="506"/>
      <c r="I88" s="506"/>
      <c r="J88" s="506"/>
    </row>
    <row r="89" spans="1:11" ht="47.25" x14ac:dyDescent="0.25">
      <c r="A89" s="490" t="s">
        <v>211</v>
      </c>
      <c r="B89" s="488">
        <f>SUM(B82:B88)</f>
        <v>0</v>
      </c>
      <c r="C89" s="488">
        <f>SUM(C82:C88)</f>
        <v>0</v>
      </c>
      <c r="D89" s="488"/>
      <c r="E89" s="488">
        <f>SUM(E82:E88)</f>
        <v>0</v>
      </c>
      <c r="F89" s="496" t="s">
        <v>212</v>
      </c>
      <c r="G89" s="488">
        <f>SUM(G82:G88)</f>
        <v>0</v>
      </c>
      <c r="H89" s="488">
        <f>SUM(H82:H88)</f>
        <v>0</v>
      </c>
      <c r="I89" s="488"/>
      <c r="J89" s="488">
        <f>SUM(J82:J88)</f>
        <v>0</v>
      </c>
    </row>
    <row r="90" spans="1:11" x14ac:dyDescent="0.25">
      <c r="B90" s="497">
        <f>B89+B80+B62+B49+B31+B20</f>
        <v>139215196</v>
      </c>
      <c r="C90" s="497">
        <f>C89+C80+C62+C49+C31+C20</f>
        <v>112851685</v>
      </c>
      <c r="D90" s="497"/>
      <c r="E90" s="497">
        <f>E89+E80+E62+E49+E31+E20</f>
        <v>2640798</v>
      </c>
      <c r="G90" s="497">
        <f>G89+G80+G62+G49+G31+G20</f>
        <v>139215196</v>
      </c>
      <c r="H90" s="497">
        <f>H89+H80+H62+H49+H31+H20</f>
        <v>112702785</v>
      </c>
      <c r="I90" s="497"/>
      <c r="J90" s="497">
        <f>J89+J80+J62+J49+J31+J20</f>
        <v>2640798</v>
      </c>
      <c r="K90" s="497">
        <f>E90-J90</f>
        <v>0</v>
      </c>
    </row>
    <row r="91" spans="1:11" x14ac:dyDescent="0.25">
      <c r="A91" s="473" t="s">
        <v>260</v>
      </c>
      <c r="B91" s="497">
        <f>G90-B90</f>
        <v>0</v>
      </c>
      <c r="C91" s="497"/>
      <c r="D91" s="497"/>
      <c r="E91" s="497"/>
    </row>
  </sheetData>
  <sheetProtection selectLockedCells="1" selectUnlockedCells="1"/>
  <mergeCells count="3">
    <mergeCell ref="A33:F33"/>
    <mergeCell ref="A64:F64"/>
    <mergeCell ref="A4:J4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60" firstPageNumber="0" orientation="landscape" r:id="rId1"/>
  <headerFooter alignWithMargins="0">
    <oddHeader>&amp;C 7. melléklet a 11/2017. (IX. 29.) önkormányzati rendelethez
Az önkormányzat 2017. évi költségvetéséről szóló 2/2017. (II. 15.) önkormányzati rendelet 7. mellékletének helyébe a következő 7. melléklet lép&amp;R&amp;P. oldal forint</oddHeader>
  </headerFooter>
  <rowBreaks count="2" manualBreakCount="2">
    <brk id="32" max="7" man="1"/>
    <brk id="6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39"/>
  <sheetViews>
    <sheetView view="pageLayout" zoomScaleSheetLayoutView="89" workbookViewId="0">
      <selection activeCell="A3" sqref="A3:N3"/>
    </sheetView>
  </sheetViews>
  <sheetFormatPr defaultColWidth="9.140625" defaultRowHeight="12.75" x14ac:dyDescent="0.2"/>
  <cols>
    <col min="1" max="1" width="51" style="553" customWidth="1"/>
    <col min="2" max="2" width="13.5703125" style="523" bestFit="1" customWidth="1"/>
    <col min="3" max="3" width="12.7109375" style="523" bestFit="1" customWidth="1"/>
    <col min="4" max="5" width="13.28515625" style="523" bestFit="1" customWidth="1"/>
    <col min="6" max="6" width="15.5703125" style="523" bestFit="1" customWidth="1"/>
    <col min="7" max="7" width="18.85546875" style="523" bestFit="1" customWidth="1"/>
    <col min="8" max="9" width="13.28515625" style="523" bestFit="1" customWidth="1"/>
    <col min="10" max="10" width="16.140625" style="523" bestFit="1" customWidth="1"/>
    <col min="11" max="13" width="13.28515625" style="523" bestFit="1" customWidth="1"/>
    <col min="14" max="14" width="14.140625" style="523" bestFit="1" customWidth="1"/>
    <col min="15" max="15" width="12.7109375" style="523" bestFit="1" customWidth="1"/>
    <col min="16" max="16384" width="9.140625" style="523"/>
  </cols>
  <sheetData>
    <row r="1" spans="1:15" ht="15.75" x14ac:dyDescent="0.25">
      <c r="A1" s="522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5" ht="15.75" x14ac:dyDescent="0.25">
      <c r="A2" s="524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853"/>
      <c r="N2" s="853"/>
    </row>
    <row r="3" spans="1:15" ht="15.75" x14ac:dyDescent="0.25">
      <c r="A3" s="854" t="s">
        <v>547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</row>
    <row r="4" spans="1:15" ht="16.5" thickBot="1" x14ac:dyDescent="0.3">
      <c r="A4" s="522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525"/>
    </row>
    <row r="5" spans="1:15" ht="16.5" thickBot="1" x14ac:dyDescent="0.3">
      <c r="A5" s="526" t="s">
        <v>102</v>
      </c>
      <c r="B5" s="527" t="s">
        <v>213</v>
      </c>
      <c r="C5" s="527" t="s">
        <v>214</v>
      </c>
      <c r="D5" s="527" t="s">
        <v>215</v>
      </c>
      <c r="E5" s="527" t="s">
        <v>216</v>
      </c>
      <c r="F5" s="527" t="s">
        <v>217</v>
      </c>
      <c r="G5" s="527" t="s">
        <v>218</v>
      </c>
      <c r="H5" s="527" t="s">
        <v>219</v>
      </c>
      <c r="I5" s="527" t="s">
        <v>220</v>
      </c>
      <c r="J5" s="527" t="s">
        <v>420</v>
      </c>
      <c r="K5" s="527" t="s">
        <v>221</v>
      </c>
      <c r="L5" s="527" t="s">
        <v>222</v>
      </c>
      <c r="M5" s="527" t="s">
        <v>223</v>
      </c>
      <c r="N5" s="528" t="s">
        <v>100</v>
      </c>
    </row>
    <row r="6" spans="1:15" ht="16.5" thickBot="1" x14ac:dyDescent="0.3">
      <c r="A6" s="529" t="s">
        <v>224</v>
      </c>
      <c r="B6" s="530">
        <v>54063146</v>
      </c>
      <c r="C6" s="530">
        <f t="shared" ref="C6:M6" si="0">SUM(B37)</f>
        <v>48343537.416666657</v>
      </c>
      <c r="D6" s="530">
        <f t="shared" si="0"/>
        <v>46432928.833333321</v>
      </c>
      <c r="E6" s="530">
        <f t="shared" si="0"/>
        <v>74026320.249999985</v>
      </c>
      <c r="F6" s="530">
        <f t="shared" si="0"/>
        <v>72699044.999999985</v>
      </c>
      <c r="G6" s="530">
        <f t="shared" si="0"/>
        <v>56871769.749999985</v>
      </c>
      <c r="H6" s="530">
        <f t="shared" si="0"/>
        <v>54544494.499999985</v>
      </c>
      <c r="I6" s="530">
        <f t="shared" si="0"/>
        <v>53617219.249999985</v>
      </c>
      <c r="J6" s="530">
        <f t="shared" si="0"/>
        <v>43023943.999999985</v>
      </c>
      <c r="K6" s="530">
        <f t="shared" si="0"/>
        <v>42096668.749999985</v>
      </c>
      <c r="L6" s="530">
        <f t="shared" si="0"/>
        <v>41139393.499999985</v>
      </c>
      <c r="M6" s="530">
        <f t="shared" si="0"/>
        <v>40312118.249999985</v>
      </c>
      <c r="N6" s="530">
        <v>54063146</v>
      </c>
      <c r="O6" s="531"/>
    </row>
    <row r="7" spans="1:15" ht="30" customHeight="1" x14ac:dyDescent="0.25">
      <c r="A7" s="532" t="s">
        <v>421</v>
      </c>
      <c r="B7" s="533">
        <f>30310196/12</f>
        <v>2525849.6666666665</v>
      </c>
      <c r="C7" s="533">
        <f t="shared" ref="C7:M7" si="1">30310196/12</f>
        <v>2525849.6666666665</v>
      </c>
      <c r="D7" s="533">
        <f t="shared" si="1"/>
        <v>2525849.6666666665</v>
      </c>
      <c r="E7" s="533">
        <f t="shared" si="1"/>
        <v>2525849.6666666665</v>
      </c>
      <c r="F7" s="533">
        <f t="shared" si="1"/>
        <v>2525849.6666666665</v>
      </c>
      <c r="G7" s="533">
        <f t="shared" si="1"/>
        <v>2525849.6666666665</v>
      </c>
      <c r="H7" s="533">
        <f t="shared" si="1"/>
        <v>2525849.6666666665</v>
      </c>
      <c r="I7" s="533">
        <f t="shared" si="1"/>
        <v>2525849.6666666665</v>
      </c>
      <c r="J7" s="533">
        <f t="shared" si="1"/>
        <v>2525849.6666666665</v>
      </c>
      <c r="K7" s="533">
        <f t="shared" si="1"/>
        <v>2525849.6666666665</v>
      </c>
      <c r="L7" s="533">
        <f t="shared" si="1"/>
        <v>2525849.6666666665</v>
      </c>
      <c r="M7" s="533">
        <f t="shared" si="1"/>
        <v>2525849.6666666665</v>
      </c>
      <c r="N7" s="534">
        <f t="shared" ref="N7:N18" si="2">SUM(B7:M7)</f>
        <v>30310196.000000004</v>
      </c>
      <c r="O7" s="531">
        <f>'2.sz.tábla'!B5</f>
        <v>30310196</v>
      </c>
    </row>
    <row r="8" spans="1:15" ht="15.75" x14ac:dyDescent="0.25">
      <c r="A8" s="535" t="s">
        <v>181</v>
      </c>
      <c r="B8" s="536">
        <f>7300000/12</f>
        <v>608333.33333333337</v>
      </c>
      <c r="C8" s="536">
        <f t="shared" ref="C8:M8" si="3">7300000/12</f>
        <v>608333.33333333337</v>
      </c>
      <c r="D8" s="536">
        <f t="shared" si="3"/>
        <v>608333.33333333337</v>
      </c>
      <c r="E8" s="536">
        <f t="shared" si="3"/>
        <v>608333.33333333337</v>
      </c>
      <c r="F8" s="536">
        <f t="shared" si="3"/>
        <v>608333.33333333337</v>
      </c>
      <c r="G8" s="536">
        <f t="shared" si="3"/>
        <v>608333.33333333337</v>
      </c>
      <c r="H8" s="536">
        <f t="shared" si="3"/>
        <v>608333.33333333337</v>
      </c>
      <c r="I8" s="536">
        <f t="shared" si="3"/>
        <v>608333.33333333337</v>
      </c>
      <c r="J8" s="536">
        <f t="shared" si="3"/>
        <v>608333.33333333337</v>
      </c>
      <c r="K8" s="536">
        <f t="shared" si="3"/>
        <v>608333.33333333337</v>
      </c>
      <c r="L8" s="536">
        <f t="shared" si="3"/>
        <v>608333.33333333337</v>
      </c>
      <c r="M8" s="536">
        <f t="shared" si="3"/>
        <v>608333.33333333337</v>
      </c>
      <c r="N8" s="537">
        <f t="shared" si="2"/>
        <v>7299999.9999999991</v>
      </c>
      <c r="O8" s="531">
        <f>'2.sz.tábla'!B47</f>
        <v>7300000</v>
      </c>
    </row>
    <row r="9" spans="1:15" ht="15.75" x14ac:dyDescent="0.25">
      <c r="A9" s="166" t="s">
        <v>225</v>
      </c>
      <c r="B9" s="164">
        <f>20450000/12</f>
        <v>1704166.6666666667</v>
      </c>
      <c r="C9" s="164">
        <f t="shared" ref="C9:M9" si="4">20450000/12</f>
        <v>1704166.6666666667</v>
      </c>
      <c r="D9" s="164">
        <f t="shared" si="4"/>
        <v>1704166.6666666667</v>
      </c>
      <c r="E9" s="164">
        <f t="shared" si="4"/>
        <v>1704166.6666666667</v>
      </c>
      <c r="F9" s="164">
        <f t="shared" si="4"/>
        <v>1704166.6666666667</v>
      </c>
      <c r="G9" s="164">
        <f t="shared" si="4"/>
        <v>1704166.6666666667</v>
      </c>
      <c r="H9" s="164">
        <f t="shared" si="4"/>
        <v>1704166.6666666667</v>
      </c>
      <c r="I9" s="164">
        <f t="shared" si="4"/>
        <v>1704166.6666666667</v>
      </c>
      <c r="J9" s="164">
        <f t="shared" si="4"/>
        <v>1704166.6666666667</v>
      </c>
      <c r="K9" s="164">
        <f t="shared" si="4"/>
        <v>1704166.6666666667</v>
      </c>
      <c r="L9" s="164">
        <f t="shared" si="4"/>
        <v>1704166.6666666667</v>
      </c>
      <c r="M9" s="164">
        <f t="shared" si="4"/>
        <v>1704166.6666666667</v>
      </c>
      <c r="N9" s="537">
        <f t="shared" si="2"/>
        <v>20450000</v>
      </c>
      <c r="O9" s="538">
        <f>'2.sz.tábla'!B33</f>
        <v>20450000</v>
      </c>
    </row>
    <row r="10" spans="1:15" ht="15.75" x14ac:dyDescent="0.25">
      <c r="A10" s="166" t="s">
        <v>422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537">
        <f t="shared" si="2"/>
        <v>0</v>
      </c>
    </row>
    <row r="11" spans="1:15" ht="15.75" x14ac:dyDescent="0.25">
      <c r="A11" s="539" t="s">
        <v>226</v>
      </c>
      <c r="B11" s="540">
        <f t="shared" ref="B11:M11" si="5">SUM(B7:B10)</f>
        <v>4838349.666666667</v>
      </c>
      <c r="C11" s="540">
        <f t="shared" si="5"/>
        <v>4838349.666666667</v>
      </c>
      <c r="D11" s="540">
        <f t="shared" si="5"/>
        <v>4838349.666666667</v>
      </c>
      <c r="E11" s="540">
        <f t="shared" si="5"/>
        <v>4838349.666666667</v>
      </c>
      <c r="F11" s="540">
        <f t="shared" si="5"/>
        <v>4838349.666666667</v>
      </c>
      <c r="G11" s="540">
        <f t="shared" si="5"/>
        <v>4838349.666666667</v>
      </c>
      <c r="H11" s="540">
        <f t="shared" si="5"/>
        <v>4838349.666666667</v>
      </c>
      <c r="I11" s="540">
        <f t="shared" si="5"/>
        <v>4838349.666666667</v>
      </c>
      <c r="J11" s="540">
        <f t="shared" si="5"/>
        <v>4838349.666666667</v>
      </c>
      <c r="K11" s="540">
        <f t="shared" si="5"/>
        <v>4838349.666666667</v>
      </c>
      <c r="L11" s="540">
        <f t="shared" si="5"/>
        <v>4838349.666666667</v>
      </c>
      <c r="M11" s="540">
        <f t="shared" si="5"/>
        <v>4838349.666666667</v>
      </c>
      <c r="N11" s="537">
        <f t="shared" si="2"/>
        <v>58060195.999999993</v>
      </c>
      <c r="O11" s="531">
        <f>SUM(B11:M11)</f>
        <v>58060195.999999993</v>
      </c>
    </row>
    <row r="12" spans="1:15" ht="30.75" customHeight="1" x14ac:dyDescent="0.25">
      <c r="A12" s="166" t="s">
        <v>423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537">
        <f t="shared" si="2"/>
        <v>0</v>
      </c>
      <c r="O12" s="531">
        <f>'2.sz.tábla'!B21</f>
        <v>0</v>
      </c>
    </row>
    <row r="13" spans="1:15" ht="15.75" x14ac:dyDescent="0.25">
      <c r="A13" s="166" t="s">
        <v>424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537">
        <f t="shared" si="2"/>
        <v>0</v>
      </c>
      <c r="O13" s="531">
        <f>'2.sz.tábla'!B60</f>
        <v>0</v>
      </c>
    </row>
    <row r="14" spans="1:15" ht="15.75" x14ac:dyDescent="0.25">
      <c r="A14" s="166" t="s">
        <v>425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537">
        <f t="shared" si="2"/>
        <v>0</v>
      </c>
      <c r="O14" s="531">
        <f>'2.sz.tábla'!B66</f>
        <v>0</v>
      </c>
    </row>
    <row r="15" spans="1:15" ht="15.75" x14ac:dyDescent="0.25">
      <c r="A15" s="539" t="s">
        <v>227</v>
      </c>
      <c r="B15" s="540">
        <f t="shared" ref="B15:M15" si="6">SUM(B12:B14)</f>
        <v>0</v>
      </c>
      <c r="C15" s="540">
        <f t="shared" si="6"/>
        <v>0</v>
      </c>
      <c r="D15" s="540">
        <f t="shared" si="6"/>
        <v>0</v>
      </c>
      <c r="E15" s="540">
        <f t="shared" si="6"/>
        <v>0</v>
      </c>
      <c r="F15" s="540">
        <f t="shared" si="6"/>
        <v>0</v>
      </c>
      <c r="G15" s="540">
        <f t="shared" si="6"/>
        <v>0</v>
      </c>
      <c r="H15" s="540">
        <f t="shared" si="6"/>
        <v>0</v>
      </c>
      <c r="I15" s="540">
        <f t="shared" si="6"/>
        <v>0</v>
      </c>
      <c r="J15" s="540">
        <f t="shared" si="6"/>
        <v>0</v>
      </c>
      <c r="K15" s="540">
        <f t="shared" si="6"/>
        <v>0</v>
      </c>
      <c r="L15" s="540">
        <f t="shared" si="6"/>
        <v>0</v>
      </c>
      <c r="M15" s="540">
        <f t="shared" si="6"/>
        <v>0</v>
      </c>
      <c r="N15" s="537">
        <f t="shared" si="2"/>
        <v>0</v>
      </c>
      <c r="O15" s="531">
        <f>'2.sz.tábla'!B60+'2.sz.tábla'!B21</f>
        <v>0</v>
      </c>
    </row>
    <row r="16" spans="1:15" ht="15.75" x14ac:dyDescent="0.25">
      <c r="A16" s="279" t="s">
        <v>11</v>
      </c>
      <c r="B16" s="164">
        <f t="shared" ref="B16:M16" si="7">SUM(B11,B15)</f>
        <v>4838349.666666667</v>
      </c>
      <c r="C16" s="164">
        <f t="shared" si="7"/>
        <v>4838349.666666667</v>
      </c>
      <c r="D16" s="164">
        <f t="shared" si="7"/>
        <v>4838349.666666667</v>
      </c>
      <c r="E16" s="164">
        <f t="shared" si="7"/>
        <v>4838349.666666667</v>
      </c>
      <c r="F16" s="164">
        <f t="shared" si="7"/>
        <v>4838349.666666667</v>
      </c>
      <c r="G16" s="164">
        <f t="shared" si="7"/>
        <v>4838349.666666667</v>
      </c>
      <c r="H16" s="164">
        <f t="shared" si="7"/>
        <v>4838349.666666667</v>
      </c>
      <c r="I16" s="164">
        <f t="shared" si="7"/>
        <v>4838349.666666667</v>
      </c>
      <c r="J16" s="164">
        <f t="shared" si="7"/>
        <v>4838349.666666667</v>
      </c>
      <c r="K16" s="164">
        <f t="shared" si="7"/>
        <v>4838349.666666667</v>
      </c>
      <c r="L16" s="164">
        <f t="shared" si="7"/>
        <v>4838349.666666667</v>
      </c>
      <c r="M16" s="164">
        <f t="shared" si="7"/>
        <v>4838349.666666667</v>
      </c>
      <c r="N16" s="537">
        <f t="shared" si="2"/>
        <v>58060195.999999993</v>
      </c>
      <c r="O16" s="531">
        <f>'1.sz.tábla'!B14</f>
        <v>58060196</v>
      </c>
    </row>
    <row r="17" spans="1:15" ht="31.5" x14ac:dyDescent="0.25">
      <c r="A17" s="166" t="s">
        <v>426</v>
      </c>
      <c r="B17" s="541">
        <f>155000/3</f>
        <v>51666.666666666664</v>
      </c>
      <c r="C17" s="541">
        <f>155000/3</f>
        <v>51666.666666666664</v>
      </c>
      <c r="D17" s="541">
        <f>155000/3+30000000</f>
        <v>30051666.666666668</v>
      </c>
      <c r="E17" s="542"/>
      <c r="F17" s="542"/>
      <c r="G17" s="542"/>
      <c r="H17" s="542"/>
      <c r="I17" s="542"/>
      <c r="J17" s="542"/>
      <c r="K17" s="542"/>
      <c r="L17" s="542"/>
      <c r="M17" s="543"/>
      <c r="N17" s="537">
        <f t="shared" si="2"/>
        <v>30155000</v>
      </c>
      <c r="O17" s="544">
        <f>'2.sz.tábla'!B82</f>
        <v>30155000</v>
      </c>
    </row>
    <row r="18" spans="1:15" ht="15.75" x14ac:dyDescent="0.25">
      <c r="A18" s="166" t="s">
        <v>427</v>
      </c>
      <c r="B18" s="164">
        <v>51000000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545">
        <f t="shared" si="2"/>
        <v>51000000</v>
      </c>
      <c r="O18" s="531">
        <f>'2.sz.tábla'!B79</f>
        <v>51000000</v>
      </c>
    </row>
    <row r="19" spans="1:15" ht="15.75" x14ac:dyDescent="0.25">
      <c r="A19" s="279" t="s">
        <v>15</v>
      </c>
      <c r="B19" s="238">
        <f t="shared" ref="B19:N19" si="8">SUM(B16:B18)</f>
        <v>55890016.333333336</v>
      </c>
      <c r="C19" s="238">
        <f t="shared" si="8"/>
        <v>4890016.333333334</v>
      </c>
      <c r="D19" s="238">
        <f t="shared" si="8"/>
        <v>34890016.333333336</v>
      </c>
      <c r="E19" s="238">
        <f t="shared" si="8"/>
        <v>4838349.666666667</v>
      </c>
      <c r="F19" s="238">
        <f t="shared" si="8"/>
        <v>4838349.666666667</v>
      </c>
      <c r="G19" s="238">
        <f t="shared" si="8"/>
        <v>4838349.666666667</v>
      </c>
      <c r="H19" s="238">
        <f t="shared" si="8"/>
        <v>4838349.666666667</v>
      </c>
      <c r="I19" s="238">
        <f t="shared" si="8"/>
        <v>4838349.666666667</v>
      </c>
      <c r="J19" s="238">
        <f t="shared" si="8"/>
        <v>4838349.666666667</v>
      </c>
      <c r="K19" s="238">
        <f t="shared" si="8"/>
        <v>4838349.666666667</v>
      </c>
      <c r="L19" s="238">
        <f t="shared" si="8"/>
        <v>4838349.666666667</v>
      </c>
      <c r="M19" s="238">
        <f t="shared" si="8"/>
        <v>4838349.666666667</v>
      </c>
      <c r="N19" s="546">
        <f t="shared" si="8"/>
        <v>139215196</v>
      </c>
      <c r="O19" s="531">
        <f>'1.sz.tábla'!B19</f>
        <v>139215196</v>
      </c>
    </row>
    <row r="20" spans="1:15" ht="15.75" x14ac:dyDescent="0.25">
      <c r="A20" s="166" t="s">
        <v>428</v>
      </c>
      <c r="B20" s="164">
        <f>15482750/12</f>
        <v>1290229.1666666667</v>
      </c>
      <c r="C20" s="164">
        <f t="shared" ref="C20:M20" si="9">15482750/12</f>
        <v>1290229.1666666667</v>
      </c>
      <c r="D20" s="164">
        <f t="shared" si="9"/>
        <v>1290229.1666666667</v>
      </c>
      <c r="E20" s="164">
        <f t="shared" si="9"/>
        <v>1290229.1666666667</v>
      </c>
      <c r="F20" s="164">
        <f t="shared" si="9"/>
        <v>1290229.1666666667</v>
      </c>
      <c r="G20" s="164">
        <f t="shared" si="9"/>
        <v>1290229.1666666667</v>
      </c>
      <c r="H20" s="164">
        <f t="shared" si="9"/>
        <v>1290229.1666666667</v>
      </c>
      <c r="I20" s="164">
        <f t="shared" si="9"/>
        <v>1290229.1666666667</v>
      </c>
      <c r="J20" s="164">
        <f t="shared" si="9"/>
        <v>1290229.1666666667</v>
      </c>
      <c r="K20" s="164">
        <f t="shared" si="9"/>
        <v>1290229.1666666667</v>
      </c>
      <c r="L20" s="164">
        <f t="shared" si="9"/>
        <v>1290229.1666666667</v>
      </c>
      <c r="M20" s="164">
        <f t="shared" si="9"/>
        <v>1290229.1666666667</v>
      </c>
      <c r="N20" s="428">
        <f t="shared" ref="N20:N36" si="10">SUM(B20:M20)</f>
        <v>15482749.999999998</v>
      </c>
      <c r="O20" s="531">
        <f>'3.tábla'!B7</f>
        <v>15482750</v>
      </c>
    </row>
    <row r="21" spans="1:15" ht="15.75" x14ac:dyDescent="0.25">
      <c r="A21" s="166" t="s">
        <v>429</v>
      </c>
      <c r="B21" s="164">
        <f>3800000/12</f>
        <v>316666.66666666669</v>
      </c>
      <c r="C21" s="164">
        <f t="shared" ref="C21:M21" si="11">3800000/12</f>
        <v>316666.66666666669</v>
      </c>
      <c r="D21" s="164">
        <f t="shared" si="11"/>
        <v>316666.66666666669</v>
      </c>
      <c r="E21" s="164">
        <f t="shared" si="11"/>
        <v>316666.66666666669</v>
      </c>
      <c r="F21" s="164">
        <f t="shared" si="11"/>
        <v>316666.66666666669</v>
      </c>
      <c r="G21" s="164">
        <f t="shared" si="11"/>
        <v>316666.66666666669</v>
      </c>
      <c r="H21" s="164">
        <f t="shared" si="11"/>
        <v>316666.66666666669</v>
      </c>
      <c r="I21" s="164">
        <f t="shared" si="11"/>
        <v>316666.66666666669</v>
      </c>
      <c r="J21" s="164">
        <f t="shared" si="11"/>
        <v>316666.66666666669</v>
      </c>
      <c r="K21" s="164">
        <f t="shared" si="11"/>
        <v>316666.66666666669</v>
      </c>
      <c r="L21" s="164">
        <f t="shared" si="11"/>
        <v>316666.66666666669</v>
      </c>
      <c r="M21" s="164">
        <f t="shared" si="11"/>
        <v>316666.66666666669</v>
      </c>
      <c r="N21" s="428">
        <f t="shared" si="10"/>
        <v>3799999.9999999995</v>
      </c>
      <c r="O21" s="531">
        <f>'3.tábla'!B8</f>
        <v>3800000</v>
      </c>
    </row>
    <row r="22" spans="1:15" ht="15" customHeight="1" x14ac:dyDescent="0.25">
      <c r="A22" s="166" t="s">
        <v>430</v>
      </c>
      <c r="B22" s="164">
        <f>32296000/12</f>
        <v>2691333.3333333335</v>
      </c>
      <c r="C22" s="164">
        <f t="shared" ref="C22:M22" si="12">32296000/12</f>
        <v>2691333.3333333335</v>
      </c>
      <c r="D22" s="164">
        <f t="shared" si="12"/>
        <v>2691333.3333333335</v>
      </c>
      <c r="E22" s="164">
        <f t="shared" si="12"/>
        <v>2691333.3333333335</v>
      </c>
      <c r="F22" s="164">
        <f t="shared" si="12"/>
        <v>2691333.3333333335</v>
      </c>
      <c r="G22" s="164">
        <f t="shared" si="12"/>
        <v>2691333.3333333335</v>
      </c>
      <c r="H22" s="164">
        <f t="shared" si="12"/>
        <v>2691333.3333333335</v>
      </c>
      <c r="I22" s="164">
        <f t="shared" si="12"/>
        <v>2691333.3333333335</v>
      </c>
      <c r="J22" s="164">
        <f t="shared" si="12"/>
        <v>2691333.3333333335</v>
      </c>
      <c r="K22" s="164">
        <f t="shared" si="12"/>
        <v>2691333.3333333335</v>
      </c>
      <c r="L22" s="164">
        <f t="shared" si="12"/>
        <v>2691333.3333333335</v>
      </c>
      <c r="M22" s="164">
        <f t="shared" si="12"/>
        <v>2691333.3333333335</v>
      </c>
      <c r="N22" s="428">
        <f t="shared" si="10"/>
        <v>32295999.999999996</v>
      </c>
      <c r="O22" s="531">
        <f>'3.tábla'!B9</f>
        <v>32296000</v>
      </c>
    </row>
    <row r="23" spans="1:15" ht="15.75" x14ac:dyDescent="0.25">
      <c r="A23" s="166" t="s">
        <v>228</v>
      </c>
      <c r="B23" s="164">
        <f>3950000/12</f>
        <v>329166.66666666669</v>
      </c>
      <c r="C23" s="164">
        <f t="shared" ref="C23:M23" si="13">3950000/12</f>
        <v>329166.66666666669</v>
      </c>
      <c r="D23" s="164">
        <f t="shared" si="13"/>
        <v>329166.66666666669</v>
      </c>
      <c r="E23" s="164">
        <f t="shared" si="13"/>
        <v>329166.66666666669</v>
      </c>
      <c r="F23" s="164">
        <f t="shared" si="13"/>
        <v>329166.66666666669</v>
      </c>
      <c r="G23" s="164">
        <f t="shared" si="13"/>
        <v>329166.66666666669</v>
      </c>
      <c r="H23" s="164">
        <f t="shared" si="13"/>
        <v>329166.66666666669</v>
      </c>
      <c r="I23" s="164">
        <f t="shared" si="13"/>
        <v>329166.66666666669</v>
      </c>
      <c r="J23" s="164">
        <f t="shared" si="13"/>
        <v>329166.66666666669</v>
      </c>
      <c r="K23" s="164">
        <f t="shared" si="13"/>
        <v>329166.66666666669</v>
      </c>
      <c r="L23" s="164">
        <f t="shared" si="13"/>
        <v>329166.66666666669</v>
      </c>
      <c r="M23" s="164">
        <f t="shared" si="13"/>
        <v>329166.66666666669</v>
      </c>
      <c r="N23" s="428">
        <f t="shared" si="10"/>
        <v>3949999.9999999995</v>
      </c>
      <c r="O23" s="531">
        <f>'3.tábla'!B48</f>
        <v>3950000</v>
      </c>
    </row>
    <row r="24" spans="1:15" ht="29.25" customHeight="1" x14ac:dyDescent="0.25">
      <c r="A24" s="166" t="s">
        <v>431</v>
      </c>
      <c r="B24" s="164"/>
      <c r="C24" s="164"/>
      <c r="D24" s="164">
        <f>100000+344000</f>
        <v>444000</v>
      </c>
      <c r="E24" s="164"/>
      <c r="F24" s="164"/>
      <c r="G24" s="164"/>
      <c r="H24" s="164">
        <v>100000</v>
      </c>
      <c r="I24" s="164"/>
      <c r="J24" s="164">
        <v>100000</v>
      </c>
      <c r="K24" s="164"/>
      <c r="L24" s="164"/>
      <c r="M24" s="164"/>
      <c r="N24" s="428">
        <f t="shared" si="10"/>
        <v>644000</v>
      </c>
      <c r="O24" s="531">
        <f>'4. sz. tábla'!B15</f>
        <v>644000</v>
      </c>
    </row>
    <row r="25" spans="1:15" ht="34.5" customHeight="1" x14ac:dyDescent="0.25">
      <c r="A25" s="166" t="s">
        <v>432</v>
      </c>
      <c r="B25" s="164">
        <f>12458749/12</f>
        <v>1038229.0833333334</v>
      </c>
      <c r="C25" s="164">
        <f t="shared" ref="C25:M25" si="14">12458749/12</f>
        <v>1038229.0833333334</v>
      </c>
      <c r="D25" s="164">
        <f t="shared" si="14"/>
        <v>1038229.0833333334</v>
      </c>
      <c r="E25" s="164">
        <f t="shared" si="14"/>
        <v>1038229.0833333334</v>
      </c>
      <c r="F25" s="164">
        <f t="shared" si="14"/>
        <v>1038229.0833333334</v>
      </c>
      <c r="G25" s="164">
        <f t="shared" si="14"/>
        <v>1038229.0833333334</v>
      </c>
      <c r="H25" s="164">
        <f t="shared" si="14"/>
        <v>1038229.0833333334</v>
      </c>
      <c r="I25" s="164">
        <f t="shared" si="14"/>
        <v>1038229.0833333334</v>
      </c>
      <c r="J25" s="164">
        <f t="shared" si="14"/>
        <v>1038229.0833333334</v>
      </c>
      <c r="K25" s="164">
        <f t="shared" si="14"/>
        <v>1038229.0833333334</v>
      </c>
      <c r="L25" s="164">
        <f t="shared" si="14"/>
        <v>1038229.0833333334</v>
      </c>
      <c r="M25" s="164">
        <f t="shared" si="14"/>
        <v>1038229.0833333334</v>
      </c>
      <c r="N25" s="428">
        <f t="shared" si="10"/>
        <v>12458749.000000002</v>
      </c>
      <c r="O25" s="547">
        <f>'4. sz. tábla'!B5</f>
        <v>12458749</v>
      </c>
    </row>
    <row r="26" spans="1:15" ht="34.5" customHeight="1" x14ac:dyDescent="0.25">
      <c r="A26" s="166" t="s">
        <v>433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428">
        <f t="shared" si="10"/>
        <v>0</v>
      </c>
      <c r="O26" s="531">
        <f>'3.tábla'!B34</f>
        <v>0</v>
      </c>
    </row>
    <row r="27" spans="1:15" ht="15.75" x14ac:dyDescent="0.25">
      <c r="A27" s="166" t="s">
        <v>21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>
        <v>36121697</v>
      </c>
      <c r="N27" s="428">
        <f t="shared" si="10"/>
        <v>36121697</v>
      </c>
      <c r="O27" s="531">
        <f>'1.sz.tábla'!B33</f>
        <v>36121697</v>
      </c>
    </row>
    <row r="28" spans="1:15" ht="15.75" x14ac:dyDescent="0.25">
      <c r="A28" s="539" t="s">
        <v>229</v>
      </c>
      <c r="B28" s="540">
        <f>SUM(B20:B27)</f>
        <v>5665624.916666667</v>
      </c>
      <c r="C28" s="540">
        <f t="shared" ref="C28:M28" si="15">SUM(C20:C27)</f>
        <v>5665624.916666667</v>
      </c>
      <c r="D28" s="540">
        <f t="shared" si="15"/>
        <v>6109624.916666667</v>
      </c>
      <c r="E28" s="540">
        <f t="shared" si="15"/>
        <v>5665624.916666667</v>
      </c>
      <c r="F28" s="540">
        <f t="shared" si="15"/>
        <v>5665624.916666667</v>
      </c>
      <c r="G28" s="540">
        <f t="shared" si="15"/>
        <v>5665624.916666667</v>
      </c>
      <c r="H28" s="540">
        <f t="shared" si="15"/>
        <v>5765624.916666667</v>
      </c>
      <c r="I28" s="540">
        <f t="shared" si="15"/>
        <v>5665624.916666667</v>
      </c>
      <c r="J28" s="540">
        <f t="shared" si="15"/>
        <v>5765624.916666667</v>
      </c>
      <c r="K28" s="540">
        <f t="shared" si="15"/>
        <v>5665624.916666667</v>
      </c>
      <c r="L28" s="540">
        <f t="shared" si="15"/>
        <v>5665624.916666667</v>
      </c>
      <c r="M28" s="540">
        <f t="shared" si="15"/>
        <v>41787321.916666664</v>
      </c>
      <c r="N28" s="428">
        <f t="shared" si="10"/>
        <v>104753195.99999999</v>
      </c>
      <c r="O28" s="531">
        <f>SUM(O20:O27)</f>
        <v>104753196</v>
      </c>
    </row>
    <row r="29" spans="1:15" ht="15.75" x14ac:dyDescent="0.25">
      <c r="A29" s="166" t="s">
        <v>230</v>
      </c>
      <c r="D29" s="523">
        <v>300000</v>
      </c>
      <c r="E29" s="523">
        <v>200000</v>
      </c>
      <c r="G29" s="523">
        <v>1500000</v>
      </c>
      <c r="K29" s="523">
        <v>130000</v>
      </c>
      <c r="M29" s="523">
        <v>300000</v>
      </c>
      <c r="N29" s="428">
        <f t="shared" si="10"/>
        <v>2430000</v>
      </c>
      <c r="O29" s="547">
        <f>'1.sz.tábla'!B29</f>
        <v>2430000</v>
      </c>
    </row>
    <row r="30" spans="1:15" ht="15.75" x14ac:dyDescent="0.25">
      <c r="A30" s="166" t="s">
        <v>231</v>
      </c>
      <c r="B30" s="164">
        <f>3142000+1415000</f>
        <v>4557000</v>
      </c>
      <c r="C30" s="164">
        <v>748000</v>
      </c>
      <c r="D30" s="164">
        <v>500000</v>
      </c>
      <c r="E30" s="164">
        <v>300000</v>
      </c>
      <c r="F30" s="164">
        <v>15000000</v>
      </c>
      <c r="G30" s="164"/>
      <c r="H30" s="164"/>
      <c r="I30" s="164">
        <v>9766000</v>
      </c>
      <c r="J30" s="164"/>
      <c r="K30" s="164"/>
      <c r="L30" s="164"/>
      <c r="M30" s="164"/>
      <c r="N30" s="428">
        <f>SUM(B30:M30)</f>
        <v>30871000</v>
      </c>
      <c r="O30" s="531">
        <f>'1.sz.tábla'!B30</f>
        <v>30871000</v>
      </c>
    </row>
    <row r="31" spans="1:15" ht="15.75" x14ac:dyDescent="0.25">
      <c r="A31" s="166" t="s">
        <v>434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428">
        <f t="shared" si="10"/>
        <v>0</v>
      </c>
    </row>
    <row r="32" spans="1:15" ht="15.75" x14ac:dyDescent="0.25">
      <c r="A32" s="539" t="s">
        <v>232</v>
      </c>
      <c r="B32" s="540">
        <f>SUM(B30:B31)</f>
        <v>4557000</v>
      </c>
      <c r="C32" s="540">
        <f t="shared" ref="C32:M32" si="16">SUM(C29:C31)</f>
        <v>748000</v>
      </c>
      <c r="D32" s="540">
        <f t="shared" si="16"/>
        <v>800000</v>
      </c>
      <c r="E32" s="540">
        <f t="shared" si="16"/>
        <v>500000</v>
      </c>
      <c r="F32" s="540">
        <f t="shared" si="16"/>
        <v>15000000</v>
      </c>
      <c r="G32" s="540">
        <f t="shared" si="16"/>
        <v>1500000</v>
      </c>
      <c r="H32" s="540">
        <f t="shared" si="16"/>
        <v>0</v>
      </c>
      <c r="I32" s="540">
        <f t="shared" si="16"/>
        <v>9766000</v>
      </c>
      <c r="J32" s="540">
        <f t="shared" si="16"/>
        <v>0</v>
      </c>
      <c r="K32" s="540">
        <f t="shared" si="16"/>
        <v>130000</v>
      </c>
      <c r="L32" s="540">
        <f t="shared" si="16"/>
        <v>0</v>
      </c>
      <c r="M32" s="540">
        <f t="shared" si="16"/>
        <v>300000</v>
      </c>
      <c r="N32" s="428">
        <f t="shared" si="10"/>
        <v>33301000</v>
      </c>
      <c r="O32" s="531">
        <f>'1.sz.tábla'!B27</f>
        <v>33301000</v>
      </c>
    </row>
    <row r="33" spans="1:15" ht="15.75" x14ac:dyDescent="0.25">
      <c r="A33" s="279" t="s">
        <v>24</v>
      </c>
      <c r="B33" s="543">
        <f t="shared" ref="B33:M33" si="17">SUM(B32,B28)</f>
        <v>10222624.916666668</v>
      </c>
      <c r="C33" s="543">
        <f t="shared" si="17"/>
        <v>6413624.916666667</v>
      </c>
      <c r="D33" s="543">
        <f t="shared" si="17"/>
        <v>6909624.916666667</v>
      </c>
      <c r="E33" s="543">
        <f t="shared" si="17"/>
        <v>6165624.916666667</v>
      </c>
      <c r="F33" s="543">
        <f t="shared" si="17"/>
        <v>20665624.916666668</v>
      </c>
      <c r="G33" s="543">
        <f t="shared" si="17"/>
        <v>7165624.916666667</v>
      </c>
      <c r="H33" s="543">
        <f t="shared" si="17"/>
        <v>5765624.916666667</v>
      </c>
      <c r="I33" s="543">
        <f t="shared" si="17"/>
        <v>15431624.916666668</v>
      </c>
      <c r="J33" s="543">
        <f t="shared" si="17"/>
        <v>5765624.916666667</v>
      </c>
      <c r="K33" s="543">
        <f t="shared" si="17"/>
        <v>5795624.916666667</v>
      </c>
      <c r="L33" s="543">
        <f t="shared" si="17"/>
        <v>5665624.916666667</v>
      </c>
      <c r="M33" s="543">
        <f t="shared" si="17"/>
        <v>42087321.916666664</v>
      </c>
      <c r="N33" s="428">
        <f t="shared" si="10"/>
        <v>138054196.00000003</v>
      </c>
      <c r="O33" s="531">
        <f>'1.sz.tábla'!B36</f>
        <v>138054196</v>
      </c>
    </row>
    <row r="34" spans="1:15" ht="47.25" x14ac:dyDescent="0.25">
      <c r="A34" s="279" t="s">
        <v>435</v>
      </c>
      <c r="B34" s="543">
        <f>1161000/3</f>
        <v>387000</v>
      </c>
      <c r="C34" s="543">
        <f>1161000/3</f>
        <v>387000</v>
      </c>
      <c r="D34" s="543">
        <f>1161000/3</f>
        <v>387000</v>
      </c>
      <c r="E34" s="543"/>
      <c r="F34" s="543"/>
      <c r="G34" s="543"/>
      <c r="H34" s="543"/>
      <c r="I34" s="543"/>
      <c r="J34" s="543"/>
      <c r="K34" s="543"/>
      <c r="L34" s="543"/>
      <c r="M34" s="543"/>
      <c r="N34" s="428">
        <f t="shared" si="10"/>
        <v>1161000</v>
      </c>
      <c r="O34" s="531">
        <f>'1.sz.tábla'!B39</f>
        <v>1161000</v>
      </c>
    </row>
    <row r="35" spans="1:15" ht="15.75" x14ac:dyDescent="0.25">
      <c r="A35" s="259" t="s">
        <v>27</v>
      </c>
      <c r="B35" s="548">
        <f t="shared" ref="B35:M35" si="18">SUM(B33:B34)</f>
        <v>10609624.916666668</v>
      </c>
      <c r="C35" s="548">
        <f t="shared" si="18"/>
        <v>6800624.916666667</v>
      </c>
      <c r="D35" s="548">
        <f t="shared" si="18"/>
        <v>7296624.916666667</v>
      </c>
      <c r="E35" s="548">
        <f t="shared" si="18"/>
        <v>6165624.916666667</v>
      </c>
      <c r="F35" s="548">
        <f t="shared" si="18"/>
        <v>20665624.916666668</v>
      </c>
      <c r="G35" s="548">
        <f t="shared" si="18"/>
        <v>7165624.916666667</v>
      </c>
      <c r="H35" s="548">
        <f t="shared" si="18"/>
        <v>5765624.916666667</v>
      </c>
      <c r="I35" s="548">
        <f t="shared" si="18"/>
        <v>15431624.916666668</v>
      </c>
      <c r="J35" s="548">
        <f t="shared" si="18"/>
        <v>5765624.916666667</v>
      </c>
      <c r="K35" s="548">
        <f t="shared" si="18"/>
        <v>5795624.916666667</v>
      </c>
      <c r="L35" s="548">
        <f t="shared" si="18"/>
        <v>5665624.916666667</v>
      </c>
      <c r="M35" s="548">
        <f t="shared" si="18"/>
        <v>42087321.916666664</v>
      </c>
      <c r="N35" s="428">
        <f t="shared" si="10"/>
        <v>139215196.00000003</v>
      </c>
      <c r="O35" s="531">
        <f>'1.sz.tábla'!B40</f>
        <v>139215196</v>
      </c>
    </row>
    <row r="36" spans="1:15" ht="16.5" thickBot="1" x14ac:dyDescent="0.3">
      <c r="A36" s="549" t="s">
        <v>436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428">
        <f t="shared" si="10"/>
        <v>0</v>
      </c>
    </row>
    <row r="37" spans="1:15" ht="16.5" thickBot="1" x14ac:dyDescent="0.3">
      <c r="A37" s="551" t="s">
        <v>233</v>
      </c>
      <c r="B37" s="552">
        <f>B6+B16+B17-B35-B36</f>
        <v>48343537.416666657</v>
      </c>
      <c r="C37" s="552">
        <f t="shared" ref="C37:N37" si="19">C6+C16+C17-C35-C36</f>
        <v>46432928.833333321</v>
      </c>
      <c r="D37" s="552">
        <f t="shared" si="19"/>
        <v>74026320.249999985</v>
      </c>
      <c r="E37" s="552">
        <f t="shared" si="19"/>
        <v>72699044.999999985</v>
      </c>
      <c r="F37" s="552">
        <f t="shared" si="19"/>
        <v>56871769.749999985</v>
      </c>
      <c r="G37" s="552">
        <f t="shared" si="19"/>
        <v>54544494.499999985</v>
      </c>
      <c r="H37" s="552">
        <f t="shared" si="19"/>
        <v>53617219.249999985</v>
      </c>
      <c r="I37" s="552">
        <f t="shared" si="19"/>
        <v>43023943.999999985</v>
      </c>
      <c r="J37" s="552">
        <f t="shared" si="19"/>
        <v>42096668.749999985</v>
      </c>
      <c r="K37" s="552">
        <f t="shared" si="19"/>
        <v>41139393.499999985</v>
      </c>
      <c r="L37" s="552">
        <f t="shared" si="19"/>
        <v>40312118.249999985</v>
      </c>
      <c r="M37" s="552">
        <f t="shared" si="19"/>
        <v>3063145.9999999851</v>
      </c>
      <c r="N37" s="552">
        <f t="shared" si="19"/>
        <v>3063145.9999999702</v>
      </c>
      <c r="O37" s="531"/>
    </row>
    <row r="39" spans="1:15" x14ac:dyDescent="0.2">
      <c r="N39" s="531">
        <f>SUM(N20)</f>
        <v>15482749.999999998</v>
      </c>
    </row>
  </sheetData>
  <sheetProtection selectLockedCells="1" selectUnlockedCells="1"/>
  <mergeCells count="2">
    <mergeCell ref="M2:N2"/>
    <mergeCell ref="A3:N3"/>
  </mergeCells>
  <phoneticPr fontId="21" type="noConversion"/>
  <pageMargins left="0" right="0" top="0.74803149606299213" bottom="0.74803149606299213" header="0.31496062992125984" footer="0.31496062992125984"/>
  <pageSetup paperSize="9" scale="59" firstPageNumber="0" orientation="landscape" r:id="rId1"/>
  <headerFooter alignWithMargins="0">
    <oddHeader>&amp;C&amp;"Times New Roman,Normál"&amp;12 8. melléklet a 11/2017.(IX. 29.) önkormányzati rendelethez
Az önkormányzat 2017. évi költségvetéséről szóló 2/2017. (II. 15.) önkormányzati rendelet 8. mellékletének helyébe a következő 8. melléklet lép:&amp;R&amp;P. oldal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13</vt:i4>
      </vt:variant>
    </vt:vector>
  </HeadingPairs>
  <TitlesOfParts>
    <vt:vector size="29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9. sz. stabilitási tv </vt:lpstr>
      <vt:lpstr>10. sz. tábla</vt:lpstr>
      <vt:lpstr>11. tábla</vt:lpstr>
      <vt:lpstr>12. sz. EU projektek</vt:lpstr>
      <vt:lpstr>13.tábla</vt:lpstr>
      <vt:lpstr>14. tábla</vt:lpstr>
      <vt:lpstr>Munka1</vt:lpstr>
      <vt:lpstr>'1.sz.tábla'!Nyomtatási_terület</vt:lpstr>
      <vt:lpstr>'10. sz. tábla'!Nyomtatási_terület</vt:lpstr>
      <vt:lpstr>'11. tábla'!Nyomtatási_terület</vt:lpstr>
      <vt:lpstr>'12. sz. EU projektek'!Nyomtatási_terület</vt:lpstr>
      <vt:lpstr>'2.sz.tábla'!Nyomtatási_terület</vt:lpstr>
      <vt:lpstr>'2a. 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  <vt:lpstr>'9. sz. stabilitási tv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2017-10-26T12:53:23Z</cp:lastPrinted>
  <dcterms:created xsi:type="dcterms:W3CDTF">2014-05-27T12:51:39Z</dcterms:created>
  <dcterms:modified xsi:type="dcterms:W3CDTF">2017-10-26T12:53:44Z</dcterms:modified>
</cp:coreProperties>
</file>